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7"/>
  </bookViews>
  <sheets>
    <sheet name="任务一" sheetId="1" r:id="rId1"/>
    <sheet name="任务二" sheetId="2" r:id="rId2"/>
    <sheet name="任务三" sheetId="3" r:id="rId3"/>
    <sheet name="任务四" sheetId="4" r:id="rId4"/>
    <sheet name="任务五" sheetId="5" r:id="rId5"/>
    <sheet name="任务六" sheetId="6" r:id="rId6"/>
    <sheet name="任务七" sheetId="7" r:id="rId7"/>
    <sheet name="任务八" sheetId="8" r:id="rId8"/>
  </sheets>
  <calcPr calcId="144525"/>
</workbook>
</file>

<file path=xl/sharedStrings.xml><?xml version="1.0" encoding="utf-8"?>
<sst xmlns="http://schemas.openxmlformats.org/spreadsheetml/2006/main" count="372" uniqueCount="276">
  <si>
    <t>大发搬家公司成本分析</t>
  </si>
  <si>
    <t>项目</t>
  </si>
  <si>
    <t>人数</t>
  </si>
  <si>
    <t>工资/月</t>
  </si>
  <si>
    <t>工资/小时</t>
  </si>
  <si>
    <t>固定合计/月</t>
  </si>
  <si>
    <t>价格元/小时</t>
  </si>
  <si>
    <t>计划降价</t>
  </si>
  <si>
    <t>新价格元/小时</t>
  </si>
  <si>
    <t>管理人员</t>
  </si>
  <si>
    <t>工人</t>
  </si>
  <si>
    <t>除工资外的其他成本</t>
  </si>
  <si>
    <t>合计</t>
  </si>
  <si>
    <t>业务量分析</t>
  </si>
  <si>
    <t>每天需求量（小时）</t>
  </si>
  <si>
    <t>每月（30天）</t>
  </si>
  <si>
    <t>每天最大供应量（小时）</t>
  </si>
  <si>
    <t>每月最大供应量（小时）</t>
  </si>
  <si>
    <t>降价前利润分析</t>
  </si>
  <si>
    <t>降价后利润分析</t>
  </si>
  <si>
    <t>p</t>
  </si>
  <si>
    <t>v</t>
  </si>
  <si>
    <t>m</t>
  </si>
  <si>
    <t>Q</t>
  </si>
  <si>
    <t>M</t>
  </si>
  <si>
    <t>F</t>
  </si>
  <si>
    <t>R</t>
  </si>
  <si>
    <r>
      <rPr>
        <sz val="11"/>
        <color theme="1"/>
        <rFont val="宋体"/>
        <charset val="134"/>
        <scheme val="minor"/>
      </rPr>
      <t>Q</t>
    </r>
    <r>
      <rPr>
        <sz val="8"/>
        <color theme="1"/>
        <rFont val="宋体"/>
        <charset val="134"/>
        <scheme val="minor"/>
      </rPr>
      <t>0</t>
    </r>
  </si>
  <si>
    <r>
      <rPr>
        <sz val="11"/>
        <color theme="1"/>
        <rFont val="宋体"/>
        <charset val="134"/>
        <scheme val="minor"/>
      </rPr>
      <t>Q-Q</t>
    </r>
    <r>
      <rPr>
        <sz val="6"/>
        <color theme="1"/>
        <rFont val="宋体"/>
        <charset val="134"/>
        <scheme val="minor"/>
      </rPr>
      <t>0</t>
    </r>
  </si>
  <si>
    <t>安全边际率</t>
  </si>
  <si>
    <t>保利量Q1</t>
  </si>
  <si>
    <t>租房天数：</t>
  </si>
  <si>
    <t>单人房： 高峰期：7×8×80×100%=4480（天）   其余时间：7×12×80×70%=4704（天）</t>
  </si>
  <si>
    <t>双人房： 高峰期：7×8×40×100%=2240（天）   其余时间：7×12×40×60%=2016 （天）</t>
  </si>
  <si>
    <t>利润=总收入-变动成本-固定成本</t>
  </si>
  <si>
    <t>则总收入=变动成本+固定成本+利润=（4480+4704）×26+（2240+2016)×35+713000+300000=387744+713000+300000=1400744(元)</t>
  </si>
  <si>
    <t>设单人房每天收费为x，则双人房每天收费为1.5x，则:</t>
  </si>
  <si>
    <t>（4480+4704）x+（2240+2016)*1.5x=1400744</t>
  </si>
  <si>
    <t>15568x=1400744</t>
  </si>
  <si>
    <t>单人房每天收费=x=90(元)</t>
  </si>
  <si>
    <t>双人房每天收费=1.5x=90×1.5=135(元)</t>
  </si>
  <si>
    <t>(2)保本点收费，即最低收费</t>
  </si>
  <si>
    <t>保本收入=变动成本+固定成本=9184×26+4256×35+713000=387744+713000=1100744 (元)</t>
  </si>
  <si>
    <t xml:space="preserve">9184x+4256×1.5x=1100744 </t>
  </si>
  <si>
    <t xml:space="preserve">客房部达到保本点时，单人房和双人房的最低收费  </t>
  </si>
  <si>
    <t>单人房最低收费=x=71(元)</t>
  </si>
  <si>
    <t>双人房最低收费=1.5x=71×1.5=107(元)</t>
  </si>
  <si>
    <t>（3）住房人次：</t>
  </si>
  <si>
    <t>单人房：</t>
  </si>
  <si>
    <t>高峰期：7×8×80×100%=4480（人）     其余时间： 7×12×80×70%=4704 （人）</t>
  </si>
  <si>
    <t>双人房：</t>
  </si>
  <si>
    <t>高峰期：7×8×40×100%×2=4480（人）  其余时间：7×12×40×60%×2=4032 （人）</t>
  </si>
  <si>
    <t>合计：4480+4704+4480+4032=17696 （人）</t>
  </si>
  <si>
    <t>散客人次=50×7×20=7000(人)</t>
  </si>
  <si>
    <t>客房部利润 300000元</t>
  </si>
  <si>
    <t>健身房利润   单位：元</t>
  </si>
  <si>
    <t>边际贡献</t>
  </si>
  <si>
    <t xml:space="preserve">固定成本 </t>
  </si>
  <si>
    <t xml:space="preserve">利润 </t>
  </si>
  <si>
    <t>餐厅利润 单位：元</t>
  </si>
  <si>
    <t>贡献边际</t>
  </si>
  <si>
    <t>利润 元</t>
  </si>
  <si>
    <t xml:space="preserve">商务中心利润 </t>
  </si>
  <si>
    <t xml:space="preserve">贡献边际总额 40000元 </t>
  </si>
  <si>
    <t>总利润=300000+86784+49088+40000=475872元</t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</si>
  <si>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5-5</t>
    </r>
    <r>
      <rPr>
        <sz val="9"/>
        <color rgb="FF000000"/>
        <rFont val="方正黑体_GBK"/>
        <charset val="134"/>
      </rPr>
      <t>计划年度预计利润表</t>
    </r>
  </si>
  <si>
    <r>
      <rPr>
        <sz val="9"/>
        <color rgb="FF000000"/>
        <rFont val="方正书宋_GBK"/>
        <charset val="134"/>
      </rPr>
      <t>销售收入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NEU-BZ-S92"/>
        <charset val="134"/>
      </rPr>
      <t>80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NEU-BZ-S92"/>
        <charset val="134"/>
      </rPr>
      <t>000</t>
    </r>
    <r>
      <rPr>
        <sz val="9"/>
        <color rgb="FF000000"/>
        <rFont val="方正书宋_GBK"/>
        <charset val="134"/>
      </rPr>
      <t>双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</si>
  <si>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每双售价</t>
    </r>
    <r>
      <rPr>
        <sz val="9"/>
        <color rgb="FF000000"/>
        <rFont val="NEU-BZ-S92"/>
        <charset val="134"/>
      </rPr>
      <t>10</t>
    </r>
    <r>
      <rPr>
        <sz val="9"/>
        <color rgb="FF000000"/>
        <rFont val="方正书宋_GBK"/>
        <charset val="134"/>
      </rPr>
      <t>元</t>
    </r>
  </si>
  <si>
    <r>
      <rPr>
        <sz val="9"/>
        <color rgb="FF000000"/>
        <rFont val="NEU-BZ-S92"/>
        <charset val="134"/>
      </rPr>
      <t>800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NEU-BZ-S92"/>
        <charset val="134"/>
      </rPr>
      <t>000</t>
    </r>
  </si>
  <si>
    <r>
      <rPr>
        <sz val="9"/>
        <color rgb="FF000000"/>
        <rFont val="方正书宋_GBK"/>
        <charset val="134"/>
      </rPr>
      <t>单位成本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</si>
  <si>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总成本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</si>
  <si>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方正书宋_GBK"/>
        <charset val="134"/>
      </rPr>
      <t>生产成本</t>
    </r>
    <r>
      <rPr>
        <sz val="9"/>
        <color rgb="FF000000"/>
        <rFont val="方正书宋_GBK"/>
        <charset val="134"/>
      </rPr>
      <t>:</t>
    </r>
  </si>
  <si>
    <r>
      <rPr>
        <sz val="9"/>
        <color rgb="FF000000"/>
        <rFont val="NEU-BZ-S92"/>
        <charset val="134"/>
      </rPr>
      <t>650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NEU-BZ-S92"/>
        <charset val="134"/>
      </rPr>
      <t>000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</si>
  <si>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方正书宋_GBK"/>
        <charset val="134"/>
      </rPr>
      <t>其中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直接材料</t>
    </r>
  </si>
  <si>
    <r>
      <rPr>
        <sz val="9"/>
        <color rgb="FF000000"/>
        <rFont val="方正书宋_GBK"/>
        <charset val="134"/>
      </rPr>
      <t>　　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直接人工</t>
    </r>
  </si>
  <si>
    <r>
      <rPr>
        <sz val="9"/>
        <color rgb="FF000000"/>
        <rFont val="方正书宋_GBK"/>
        <charset val="134"/>
      </rPr>
      <t>　　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制造费用</t>
    </r>
    <r>
      <rPr>
        <vertAlign val="superscript"/>
        <sz val="9"/>
        <color rgb="FF000000"/>
        <rFont val="NEU-BZ-S92"/>
        <charset val="134"/>
      </rPr>
      <t>*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</si>
  <si>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销售费用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</si>
  <si>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方正书宋_GBK"/>
        <charset val="134"/>
      </rPr>
      <t>其中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门市部门销售计件工资</t>
    </r>
  </si>
  <si>
    <r>
      <rPr>
        <sz val="9"/>
        <color rgb="FF000000"/>
        <rFont val="方正书宋_GBK"/>
        <charset val="134"/>
      </rPr>
      <t>　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门市部门管理费用</t>
    </r>
    <r>
      <rPr>
        <vertAlign val="superscript"/>
        <sz val="9"/>
        <color rgb="FF000000"/>
        <rFont val="NEU-BZ-S92"/>
        <charset val="134"/>
      </rPr>
      <t>*</t>
    </r>
  </si>
  <si>
    <r>
      <rPr>
        <sz val="9"/>
        <color rgb="FF000000"/>
        <rFont val="方正书宋_GBK"/>
        <charset val="134"/>
      </rPr>
      <t>　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税前利润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</si>
  <si>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方正书宋_GBK"/>
        <charset val="134"/>
      </rPr>
      <t>注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制造费用、管理费用</t>
    </r>
    <r>
      <rPr>
        <sz val="9"/>
        <color rgb="FF000000"/>
        <rFont val="NEU-BZ-S92"/>
        <charset val="134"/>
      </rPr>
      <t>80%</t>
    </r>
    <r>
      <rPr>
        <sz val="9"/>
        <color rgb="FF000000"/>
        <rFont val="方正书宋_GBK"/>
        <charset val="134"/>
      </rPr>
      <t>是固定成本。</t>
    </r>
  </si>
  <si>
    <t>根据上表分析可知：</t>
  </si>
  <si>
    <t>产品单位变动成本</t>
  </si>
  <si>
    <t>东方宾馆来厂提货，不会有门市计件工资，所以东方宾馆订单每双单位变动成本</t>
  </si>
  <si>
    <t>6.325-0.5=5.825（元）</t>
  </si>
  <si>
    <t>产能分析/双</t>
  </si>
  <si>
    <t>最高产能</t>
  </si>
  <si>
    <t>已用产能</t>
  </si>
  <si>
    <t>剩余产能</t>
  </si>
  <si>
    <t>客户订货</t>
  </si>
  <si>
    <t>缺少</t>
  </si>
  <si>
    <t>分析：东方宾馆订货量是红运鞋厂产能的30%，属于大客户，在不影响正常销售的情况下，可以考虑降价接受订单。</t>
  </si>
  <si>
    <t xml:space="preserve">单价7.5＞单位变动成本 5.825 </t>
  </si>
  <si>
    <t xml:space="preserve">单位边际贡献 </t>
  </si>
  <si>
    <t>7.5-5.825=1.675元</t>
  </si>
  <si>
    <t>接受该订单不会亏损，所以厂长的意见不正确。</t>
  </si>
  <si>
    <t>生产科长的建议的利润</t>
  </si>
  <si>
    <t>销售收入(100 000双)</t>
  </si>
  <si>
    <t>金额（元）</t>
  </si>
  <si>
    <t xml:space="preserve">正常销售量 </t>
  </si>
  <si>
    <t>东方宾馆销售量</t>
  </si>
  <si>
    <t>变动成本</t>
  </si>
  <si>
    <t xml:space="preserve">正常销售 </t>
  </si>
  <si>
    <t>东方宾馆</t>
  </si>
  <si>
    <t>固定成本</t>
  </si>
  <si>
    <t>　　　 税前利润</t>
  </si>
  <si>
    <t>原利润</t>
  </si>
  <si>
    <t>差额</t>
  </si>
  <si>
    <t>销售科长的建议：单位变动成本=5.825+1.8=7.625（元）</t>
  </si>
  <si>
    <t>销售科长建议的利润</t>
  </si>
  <si>
    <t>4.比较生产科长和销售科长的建议利润，发现采用销售科长的建议会带来更多的利润，所以采用销售科长的建议。</t>
  </si>
  <si>
    <t>5，如果加班生，各方面增加成本40000元，则利润变化</t>
  </si>
  <si>
    <t>对比发现还是加班生产合适。</t>
  </si>
  <si>
    <r>
      <rPr>
        <sz val="9"/>
        <color rgb="FF000000"/>
        <rFont val="方正黑体_GBK"/>
        <charset val="134"/>
      </rPr>
      <t xml:space="preserve"> 每月固定成本预算数</t>
    </r>
    <r>
      <rPr>
        <sz val="9"/>
        <color rgb="FF000000"/>
        <rFont val="方正书宋_GBK"/>
        <charset val="134"/>
      </rPr>
      <t>单位:元</t>
    </r>
  </si>
  <si>
    <t>金额</t>
  </si>
  <si>
    <t>调整数</t>
  </si>
  <si>
    <r>
      <rPr>
        <sz val="9"/>
        <color rgb="FF000000"/>
        <rFont val="方正书宋_GBK"/>
        <charset val="134"/>
      </rPr>
      <t>剧院租金</t>
    </r>
  </si>
  <si>
    <r>
      <rPr>
        <sz val="9"/>
        <color rgb="FF000000"/>
        <rFont val="方正书宋_GBK"/>
        <charset val="134"/>
      </rPr>
      <t>雇员工资与福利</t>
    </r>
  </si>
  <si>
    <r>
      <rPr>
        <sz val="9"/>
        <color rgb="FF000000"/>
        <rFont val="方正书宋_GBK"/>
        <charset val="134"/>
      </rPr>
      <t>演员薪金</t>
    </r>
  </si>
  <si>
    <r>
      <rPr>
        <sz val="9"/>
        <color rgb="FF000000"/>
        <rFont val="方正书宋_GBK"/>
        <charset val="134"/>
      </rPr>
      <t>制片工作人员的薪水</t>
    </r>
  </si>
  <si>
    <r>
      <rPr>
        <sz val="9"/>
        <color rgb="FF000000"/>
        <rFont val="方正书宋_GBK"/>
        <charset val="134"/>
      </rPr>
      <t>使用剧本而支付给作者的版税</t>
    </r>
  </si>
  <si>
    <r>
      <rPr>
        <sz val="9"/>
        <color rgb="FF000000"/>
        <rFont val="方正书宋_GBK"/>
        <charset val="134"/>
      </rPr>
      <t>保险费</t>
    </r>
  </si>
  <si>
    <r>
      <rPr>
        <sz val="9"/>
        <color rgb="FF000000"/>
        <rFont val="方正书宋_GBK"/>
        <charset val="134"/>
      </rPr>
      <t>公用事业费——固定部分</t>
    </r>
  </si>
  <si>
    <r>
      <rPr>
        <sz val="9"/>
        <color rgb="FF000000"/>
        <rFont val="方正书宋_GBK"/>
        <charset val="134"/>
      </rPr>
      <t>广告与促销</t>
    </r>
  </si>
  <si>
    <r>
      <rPr>
        <sz val="9"/>
        <color rgb="FF000000"/>
        <rFont val="方正书宋_GBK"/>
        <charset val="134"/>
      </rPr>
      <t>管理费用</t>
    </r>
  </si>
  <si>
    <r>
      <rPr>
        <sz val="9"/>
        <color rgb="FF000000"/>
        <rFont val="方正书宋_GBK"/>
        <charset val="134"/>
      </rPr>
      <t>每月固定费用合计</t>
    </r>
  </si>
  <si>
    <r>
      <rPr>
        <sz val="9"/>
        <color rgb="FF000000"/>
        <rFont val="方正黑体_GBK"/>
        <charset val="134"/>
      </rPr>
      <t xml:space="preserve"> 每张售出戏票的变动费用表</t>
    </r>
    <r>
      <rPr>
        <sz val="9"/>
        <color rgb="FF000000"/>
        <rFont val="方正书宋_GBK"/>
        <charset val="134"/>
      </rPr>
      <t>单位:元</t>
    </r>
  </si>
  <si>
    <r>
      <rPr>
        <sz val="9"/>
        <color rgb="FF000000"/>
        <rFont val="方正书宋_GBK"/>
        <charset val="134"/>
      </rPr>
      <t>每张售出戏票支付给市里的费用</t>
    </r>
  </si>
  <si>
    <r>
      <rPr>
        <sz val="9"/>
        <color rgb="FF000000"/>
        <rFont val="方正书宋_GBK"/>
        <charset val="134"/>
      </rPr>
      <t>其他杂项费用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比如公演通告与戏票的印制</t>
    </r>
    <r>
      <rPr>
        <sz val="9"/>
        <color rgb="FF000000"/>
        <rFont val="方正书宋_GBK"/>
        <charset val="134"/>
      </rPr>
      <t>;</t>
    </r>
    <r>
      <rPr>
        <sz val="9"/>
        <color rgb="FF000000"/>
        <rFont val="方正书宋_GBK"/>
        <charset val="134"/>
      </rPr>
      <t>公用事业费的变动部分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</si>
  <si>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每张售出戏票的变动费用合计</t>
    </r>
  </si>
  <si>
    <t>戏票单价</t>
  </si>
  <si>
    <t>单位变动成本</t>
  </si>
  <si>
    <t>单位边际贡献</t>
  </si>
  <si>
    <t>边际贡献率</t>
  </si>
  <si>
    <t>每月保本点销售量/张</t>
  </si>
  <si>
    <t>目标利润</t>
  </si>
  <si>
    <t>保利点销售量/张</t>
  </si>
  <si>
    <t>保本点销售额</t>
  </si>
  <si>
    <t>座位数</t>
  </si>
  <si>
    <t>演出场数</t>
  </si>
  <si>
    <t>月卖票数</t>
  </si>
  <si>
    <t>票价收入</t>
  </si>
  <si>
    <t>安全边际额</t>
  </si>
  <si>
    <t>安全边际量</t>
  </si>
  <si>
    <t>利润</t>
  </si>
  <si>
    <t>五</t>
  </si>
  <si>
    <t>1.当固定费用为：2600元时</t>
  </si>
  <si>
    <t>当每月收到6000元捐赠时</t>
  </si>
  <si>
    <t>2.当剧院杂项变动费用从每张戏票2元提高到3元</t>
  </si>
  <si>
    <t>大于目前的月卖票数量，不能实现盈亏平衡。</t>
  </si>
  <si>
    <t>六</t>
  </si>
  <si>
    <t>价格与销售预测</t>
  </si>
  <si>
    <t>价格</t>
  </si>
  <si>
    <t>预测每月戏票销量/张</t>
  </si>
  <si>
    <t>每月保本点/张</t>
  </si>
  <si>
    <t>预计利润/元</t>
  </si>
  <si>
    <t>收到捐赠/元</t>
  </si>
  <si>
    <t>最后利润</t>
  </si>
  <si>
    <t>七</t>
  </si>
  <si>
    <r>
      <rPr>
        <sz val="10.5"/>
        <color rgb="FF000000"/>
        <rFont val="宋体"/>
        <charset val="134"/>
      </rPr>
      <t>表</t>
    </r>
    <r>
      <rPr>
        <sz val="10.5"/>
        <color rgb="FF000000"/>
        <rFont val="Times New Roman"/>
        <charset val="134"/>
      </rPr>
      <t xml:space="preserve">5-9  </t>
    </r>
    <r>
      <rPr>
        <sz val="10.5"/>
        <color rgb="FF000000"/>
        <rFont val="宋体"/>
        <charset val="134"/>
      </rPr>
      <t>包厢与一般座位销售预测</t>
    </r>
  </si>
  <si>
    <r>
      <rPr>
        <sz val="9"/>
        <color rgb="FF000000"/>
        <rFont val="宋体"/>
        <charset val="134"/>
      </rPr>
      <t>座位类型</t>
    </r>
  </si>
  <si>
    <t>票价/元</t>
  </si>
  <si>
    <t>单位变动费用/元</t>
  </si>
  <si>
    <t>单位贡献毛益/元</t>
  </si>
  <si>
    <t>剧院中的座位数/个</t>
  </si>
  <si>
    <r>
      <rPr>
        <sz val="9"/>
        <color rgb="FF000000"/>
        <rFont val="宋体"/>
        <charset val="134"/>
      </rPr>
      <t>每月可提供座位数（</t>
    </r>
    <r>
      <rPr>
        <sz val="9"/>
        <color rgb="FF000000"/>
        <rFont val="Times New Roman"/>
        <charset val="134"/>
      </rPr>
      <t>20</t>
    </r>
    <r>
      <rPr>
        <sz val="9"/>
        <color rgb="FF000000"/>
        <rFont val="宋体"/>
        <charset val="134"/>
      </rPr>
      <t>场）</t>
    </r>
  </si>
  <si>
    <r>
      <rPr>
        <sz val="9"/>
        <color rgb="FF000000"/>
        <rFont val="宋体"/>
        <charset val="134"/>
      </rPr>
      <t>一般</t>
    </r>
  </si>
  <si>
    <t>9 000</t>
  </si>
  <si>
    <r>
      <rPr>
        <sz val="9"/>
        <color rgb="FF000000"/>
        <rFont val="宋体"/>
        <charset val="134"/>
      </rPr>
      <t>包厢</t>
    </r>
  </si>
  <si>
    <t>1 000</t>
  </si>
  <si>
    <t>根据销售预计，一般座位与包厢的卖座比例为9:1，符合联合单位法的条件。可用联合单位法进行保本分析。</t>
  </si>
  <si>
    <t>联合单价/元</t>
  </si>
  <si>
    <t>联合单位变动成本/元</t>
  </si>
  <si>
    <t>联合单位边际贡献/元</t>
  </si>
  <si>
    <t xml:space="preserve"> 每月固定成本预算数/元</t>
  </si>
  <si>
    <t>联合保本点</t>
  </si>
  <si>
    <t>一般座位保本量/个</t>
  </si>
  <si>
    <t>包厢保本量/个</t>
  </si>
  <si>
    <t>若卖座比例变为95%：5%，即19:1，联合单位法重新计算保本点</t>
  </si>
  <si>
    <t>管理人员接受工会要求利润表</t>
  </si>
  <si>
    <t>金额（万元）</t>
  </si>
  <si>
    <t>销售收入(150万件)</t>
  </si>
  <si>
    <t>15x</t>
  </si>
  <si>
    <t>直接材料</t>
  </si>
  <si>
    <t>直接人工</t>
  </si>
  <si>
    <t>变动制造费用</t>
  </si>
  <si>
    <t>制造费用</t>
  </si>
  <si>
    <t>销售</t>
  </si>
  <si>
    <t>分销</t>
  </si>
  <si>
    <t>管理</t>
  </si>
  <si>
    <t>②假设工会接受按生产量计算的提议</t>
  </si>
  <si>
    <t>产量=150*（1+10%）=165（万件）</t>
  </si>
  <si>
    <t>原售价=1200/150=8（元/件）</t>
  </si>
  <si>
    <t>现售价=8-0.5=7.5（元）</t>
  </si>
  <si>
    <t>工会接受按生产量计算的提议</t>
  </si>
  <si>
    <t>销售收入(165万件)</t>
  </si>
  <si>
    <t>变动销售费用</t>
  </si>
  <si>
    <t>变动分销费用</t>
  </si>
  <si>
    <t xml:space="preserve">2.增幅15%所需的报酬：360*（1+15%）=414万元
薪金:360*(1+5%)=378万元
额外报酬=414-378=36万元
生产量=36/0.3=120万件
</t>
  </si>
  <si>
    <t>3.设最降价后价格为X元</t>
  </si>
  <si>
    <t>固定成本总额=380.2万元</t>
  </si>
  <si>
    <t>则销售收入-（固定成本总额+变动成本总额）=利润</t>
  </si>
  <si>
    <t>150*8+15*X-（380.2+264+427.5+59.4+19.8+5%*15*x+5%*150*8）=80</t>
  </si>
  <si>
    <t>X=6.38元</t>
  </si>
  <si>
    <t>（8-6.38）/8=20.26%</t>
  </si>
  <si>
    <t>即管理部门可接受的最大售价减幅为20.62%</t>
  </si>
  <si>
    <t>华夏电动车有限公司预算利润表      单位：万元</t>
  </si>
  <si>
    <r>
      <rPr>
        <sz val="10.5"/>
        <color rgb="FF000000"/>
        <rFont val="宋体"/>
        <charset val="134"/>
      </rPr>
      <t xml:space="preserve">项 </t>
    </r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宋体"/>
        <charset val="134"/>
      </rPr>
      <t>目</t>
    </r>
  </si>
  <si>
    <r>
      <rPr>
        <sz val="10.5"/>
        <color rgb="FF000000"/>
        <rFont val="宋体"/>
        <charset val="134"/>
      </rPr>
      <t xml:space="preserve">金 </t>
    </r>
    <r>
      <rPr>
        <sz val="10.5"/>
        <color rgb="FF000000"/>
        <rFont val="宋体"/>
        <charset val="134"/>
      </rPr>
      <t xml:space="preserve"> </t>
    </r>
    <r>
      <rPr>
        <sz val="10.5"/>
        <color rgb="FF000000"/>
        <rFont val="宋体"/>
        <charset val="134"/>
      </rPr>
      <t>额</t>
    </r>
  </si>
  <si>
    <t>销售额（60万辆@1900）</t>
  </si>
  <si>
    <r>
      <rPr>
        <sz val="10.5"/>
        <color rgb="FF000000"/>
        <rFont val="宋体"/>
        <charset val="134"/>
      </rPr>
      <t>制造成本</t>
    </r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</si>
  <si>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宋体"/>
        <charset val="134"/>
      </rPr>
      <t>变动性制造成本（60万辆@950）</t>
    </r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</si>
  <si>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宋体"/>
        <charset val="134"/>
      </rPr>
      <t>固定性制造成本</t>
    </r>
  </si>
  <si>
    <r>
      <rPr>
        <sz val="10.5"/>
        <color rgb="FF000000"/>
        <rFont val="宋体"/>
        <charset val="134"/>
      </rPr>
      <t>制造成本合计</t>
    </r>
  </si>
  <si>
    <r>
      <rPr>
        <sz val="10.5"/>
        <color rgb="FF000000"/>
        <rFont val="宋体"/>
        <charset val="134"/>
      </rPr>
      <t>销售毛利</t>
    </r>
  </si>
  <si>
    <r>
      <rPr>
        <sz val="10.5"/>
        <color rgb="FF000000"/>
        <rFont val="宋体"/>
        <charset val="134"/>
      </rPr>
      <t>变动性销售及管理费用（60万辆@150）</t>
    </r>
  </si>
  <si>
    <r>
      <rPr>
        <sz val="10.5"/>
        <color rgb="FF000000"/>
        <rFont val="宋体"/>
        <charset val="134"/>
      </rPr>
      <t>固定性销售及管理费用</t>
    </r>
  </si>
  <si>
    <r>
      <rPr>
        <sz val="10.5"/>
        <color rgb="FF000000"/>
        <rFont val="宋体"/>
        <charset val="134"/>
      </rPr>
      <t>销售及管理费用合计</t>
    </r>
  </si>
  <si>
    <r>
      <rPr>
        <sz val="10.5"/>
        <color rgb="FF000000"/>
        <rFont val="宋体"/>
        <charset val="134"/>
      </rPr>
      <t>税前利润</t>
    </r>
  </si>
  <si>
    <r>
      <rPr>
        <sz val="10.5"/>
        <color rgb="FF000000"/>
        <rFont val="宋体"/>
        <charset val="134"/>
      </rPr>
      <t>减：所得税（30 000@25%）</t>
    </r>
  </si>
  <si>
    <r>
      <rPr>
        <sz val="10.5"/>
        <color rgb="FF000000"/>
        <rFont val="宋体"/>
        <charset val="134"/>
      </rPr>
      <t>净利润</t>
    </r>
  </si>
  <si>
    <t>单位变动成本分析</t>
  </si>
  <si>
    <t>变动制造成本/元</t>
  </si>
  <si>
    <t>变动销售及管理费用/元</t>
  </si>
  <si>
    <t>合计/元</t>
  </si>
  <si>
    <t>固定成本分析     单位：万元</t>
  </si>
  <si>
    <t>固定制造费用</t>
  </si>
  <si>
    <t>固定销售及管理费用</t>
  </si>
  <si>
    <t>售价与销量关系预测表</t>
  </si>
  <si>
    <r>
      <rPr>
        <sz val="9"/>
        <color rgb="FF000000"/>
        <rFont val="方正书宋_GBK"/>
        <charset val="134"/>
      </rPr>
      <t>每辆售价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</si>
  <si>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销量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万辆</t>
    </r>
    <r>
      <rPr>
        <sz val="9"/>
        <color rgb="FF000000"/>
        <rFont val="方正书宋_GBK"/>
        <charset val="134"/>
      </rPr>
      <t>)</t>
    </r>
  </si>
  <si>
    <t>收入/万元</t>
  </si>
  <si>
    <t>保本点销售量/万辆</t>
  </si>
  <si>
    <t>安全边际量/万辆</t>
  </si>
  <si>
    <t>税前利润/万元</t>
  </si>
  <si>
    <t>税后利润/万元</t>
  </si>
  <si>
    <t>最大</t>
  </si>
  <si>
    <t>根据公司的利润预算表，税前利润为</t>
  </si>
  <si>
    <t>30000万元</t>
  </si>
  <si>
    <t>根据前面销售与单价变动的利润分析，当单价为1800元时，利润最大。为最佳价格。</t>
  </si>
  <si>
    <t>要实现30000万元的利润，价格为1800元时，销量应该是</t>
  </si>
  <si>
    <t>万辆</t>
  </si>
  <si>
    <t>第一条生产线</t>
  </si>
  <si>
    <t>售价</t>
  </si>
  <si>
    <t>预计销量1</t>
  </si>
  <si>
    <t>利润预计</t>
  </si>
  <si>
    <t>保本点销售量</t>
  </si>
  <si>
    <t>第二条生产线分析</t>
  </si>
  <si>
    <t>设利润相同时销量为x</t>
  </si>
  <si>
    <t>20x-100000=24x-200000</t>
  </si>
  <si>
    <t>解得 x=25000</t>
  </si>
  <si>
    <t>即销量为25000件时，两条生产线产生的利润相同。当产销量大于25000件时，第一条生产线盈利更多，当产销量小于25000件时，第二条生产线盈利更多。</t>
  </si>
  <si>
    <t>选择1</t>
  </si>
  <si>
    <t>出售加油站收入/美元</t>
  </si>
  <si>
    <t>投资收益率</t>
  </si>
  <si>
    <t>投资收益/美元</t>
  </si>
  <si>
    <t>选择2 经营加油站</t>
  </si>
  <si>
    <t>美元</t>
  </si>
  <si>
    <t>设备租金</t>
  </si>
  <si>
    <t>技术工人2名工资</t>
  </si>
  <si>
    <t>1名经理工资</t>
  </si>
  <si>
    <t>每次加油变动成本分析</t>
  </si>
  <si>
    <t>金额/美元</t>
  </si>
  <si>
    <t>油5夸脱</t>
  </si>
  <si>
    <t>过滤器1个</t>
  </si>
  <si>
    <t>润滑剂4盎司</t>
  </si>
  <si>
    <t>每次加油收费/美元</t>
  </si>
  <si>
    <t>每次加油的边际贡献/美元</t>
  </si>
  <si>
    <t>全年保本加油次数/次</t>
  </si>
  <si>
    <t>考虑机会成本的全年保本加油次数/次</t>
  </si>
  <si>
    <t>杰弗逊大街每年汽车加油服务需要量</t>
  </si>
  <si>
    <t>公司每周经营72小时，2个技工全年可提供服务数</t>
  </si>
  <si>
    <t>服务数量小于保本点的加油次数，所以公司经营会亏损</t>
  </si>
  <si>
    <t>利润/美元</t>
  </si>
  <si>
    <t>考虑机会成本的全年利润</t>
  </si>
  <si>
    <t>考虑到产能和机会成本，卖掉最合适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</si>
</sst>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</numFmts>
  <fonts count="3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9"/>
      <color rgb="FF000000"/>
      <name val="方正黑体_GBK"/>
      <charset val="134"/>
    </font>
    <font>
      <sz val="9"/>
      <color rgb="FF000000"/>
      <name val="方正书宋_GBK"/>
      <charset val="134"/>
    </font>
    <font>
      <sz val="9"/>
      <color rgb="FF000000"/>
      <name val="NEU-BZ-S92"/>
      <charset val="134"/>
    </font>
    <font>
      <sz val="9"/>
      <color rgb="FFFF0000"/>
      <name val="NEU-BZ-S92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.5"/>
      <color rgb="FF000000"/>
      <name val="NEU-BZ-S9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rgb="FF000000"/>
      <name val="Times New Roman"/>
      <charset val="134"/>
    </font>
    <font>
      <sz val="9"/>
      <color rgb="FF000000"/>
      <name val="NEU-HZ-S92"/>
      <charset val="134"/>
    </font>
    <font>
      <vertAlign val="superscript"/>
      <sz val="9"/>
      <color rgb="FF000000"/>
      <name val="NEU-BZ-S92"/>
      <charset val="134"/>
    </font>
    <font>
      <sz val="8"/>
      <color theme="1"/>
      <name val="宋体"/>
      <charset val="134"/>
      <scheme val="minor"/>
    </font>
    <font>
      <sz val="6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2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7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6" fillId="13" borderId="2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1" fillId="0" borderId="1" xfId="0" applyFont="1" applyBorder="1">
      <alignment vertical="center"/>
    </xf>
    <xf numFmtId="0" fontId="2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4" xfId="0" applyBorder="1">
      <alignment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6" fillId="0" borderId="15" xfId="0" applyFont="1" applyBorder="1" applyAlignment="1">
      <alignment horizontal="center" vertical="center" wrapText="1"/>
    </xf>
    <xf numFmtId="0" fontId="0" fillId="0" borderId="17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0" xfId="0" applyNumberFormat="1">
      <alignment vertical="center"/>
    </xf>
    <xf numFmtId="0" fontId="1" fillId="0" borderId="9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18" xfId="0" applyBorder="1">
      <alignment vertical="center"/>
    </xf>
    <xf numFmtId="0" fontId="0" fillId="0" borderId="8" xfId="0" applyBorder="1">
      <alignment vertical="center"/>
    </xf>
    <xf numFmtId="0" fontId="0" fillId="0" borderId="19" xfId="0" applyBorder="1">
      <alignment vertical="center"/>
    </xf>
    <xf numFmtId="10" fontId="0" fillId="0" borderId="19" xfId="11" applyNumberFormat="1" applyBorder="1">
      <alignment vertical="center"/>
    </xf>
    <xf numFmtId="0" fontId="1" fillId="0" borderId="8" xfId="0" applyFont="1" applyBorder="1">
      <alignment vertical="center"/>
    </xf>
    <xf numFmtId="0" fontId="1" fillId="0" borderId="1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20" xfId="0" applyFon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2" borderId="1" xfId="0" applyFill="1" applyBorder="1">
      <alignment vertical="center"/>
    </xf>
    <xf numFmtId="0" fontId="0" fillId="2" borderId="19" xfId="0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2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2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Font="1" applyBorder="1" applyAlignment="1">
      <alignment horizontal="center" vertical="center"/>
    </xf>
    <xf numFmtId="9" fontId="0" fillId="0" borderId="1" xfId="1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F23" sqref="F23"/>
    </sheetView>
  </sheetViews>
  <sheetFormatPr defaultColWidth="9" defaultRowHeight="13.5" outlineLevelCol="7"/>
  <cols>
    <col min="1" max="1" width="18.625" customWidth="1"/>
    <col min="2" max="2" width="12.875" customWidth="1"/>
    <col min="3" max="3" width="21.5" customWidth="1"/>
    <col min="4" max="4" width="21.625" customWidth="1"/>
    <col min="5" max="5" width="12.5" customWidth="1"/>
    <col min="6" max="6" width="12.875" customWidth="1"/>
    <col min="8" max="8" width="14.125" customWidth="1"/>
  </cols>
  <sheetData>
    <row r="1" spans="1:5">
      <c r="A1" s="33" t="s">
        <v>0</v>
      </c>
      <c r="B1" s="33"/>
      <c r="C1" s="33"/>
      <c r="D1" s="33"/>
      <c r="E1" s="33"/>
    </row>
    <row r="2" spans="1:8">
      <c r="A2" s="36" t="s">
        <v>1</v>
      </c>
      <c r="B2" s="77" t="s">
        <v>2</v>
      </c>
      <c r="C2" s="77" t="s">
        <v>3</v>
      </c>
      <c r="D2" s="77" t="s">
        <v>4</v>
      </c>
      <c r="E2" s="36" t="s">
        <v>5</v>
      </c>
      <c r="F2" s="36" t="s">
        <v>6</v>
      </c>
      <c r="G2" s="36" t="s">
        <v>7</v>
      </c>
      <c r="H2" s="36" t="s">
        <v>8</v>
      </c>
    </row>
    <row r="3" spans="1:8">
      <c r="A3" s="36" t="s">
        <v>9</v>
      </c>
      <c r="B3" s="36">
        <v>2</v>
      </c>
      <c r="C3" s="36">
        <v>2000</v>
      </c>
      <c r="D3" s="36">
        <v>0</v>
      </c>
      <c r="E3" s="36">
        <f>B3*C3</f>
        <v>4000</v>
      </c>
      <c r="F3" s="36"/>
      <c r="G3" s="36"/>
      <c r="H3" s="36"/>
    </row>
    <row r="4" spans="1:8">
      <c r="A4" s="36" t="s">
        <v>10</v>
      </c>
      <c r="B4" s="36">
        <v>30</v>
      </c>
      <c r="C4" s="36">
        <v>800</v>
      </c>
      <c r="D4" s="36">
        <v>10</v>
      </c>
      <c r="E4" s="36">
        <f>C4*B4</f>
        <v>24000</v>
      </c>
      <c r="F4" s="36">
        <v>20</v>
      </c>
      <c r="G4" s="80">
        <v>0.1</v>
      </c>
      <c r="H4" s="36">
        <f>20*0.9</f>
        <v>18</v>
      </c>
    </row>
    <row r="5" spans="1:8">
      <c r="A5" s="36" t="s">
        <v>11</v>
      </c>
      <c r="B5" s="36">
        <v>0</v>
      </c>
      <c r="C5" s="36">
        <v>8000</v>
      </c>
      <c r="D5" s="36">
        <v>0</v>
      </c>
      <c r="E5" s="36">
        <v>8000</v>
      </c>
      <c r="F5" s="36"/>
      <c r="G5" s="36"/>
      <c r="H5" s="36"/>
    </row>
    <row r="6" spans="1:8">
      <c r="A6" s="36" t="s">
        <v>12</v>
      </c>
      <c r="B6" s="36"/>
      <c r="C6" s="36"/>
      <c r="D6" s="36"/>
      <c r="E6" s="36">
        <f>E3+E4+E5</f>
        <v>36000</v>
      </c>
      <c r="F6" s="36"/>
      <c r="G6" s="36"/>
      <c r="H6" s="36"/>
    </row>
    <row r="9" spans="1:4">
      <c r="A9" s="77" t="s">
        <v>13</v>
      </c>
      <c r="B9" s="77"/>
      <c r="C9" s="77"/>
      <c r="D9" s="77"/>
    </row>
    <row r="10" spans="1:4">
      <c r="A10" s="36" t="s">
        <v>14</v>
      </c>
      <c r="B10" s="36" t="s">
        <v>15</v>
      </c>
      <c r="C10" s="36" t="s">
        <v>16</v>
      </c>
      <c r="D10" s="36" t="s">
        <v>17</v>
      </c>
    </row>
    <row r="11" spans="1:4">
      <c r="A11" s="77">
        <v>160</v>
      </c>
      <c r="B11" s="77">
        <f>A11*30</f>
        <v>4800</v>
      </c>
      <c r="C11" s="77">
        <v>240</v>
      </c>
      <c r="D11" s="77">
        <f>C11*30</f>
        <v>7200</v>
      </c>
    </row>
    <row r="13" spans="1:6">
      <c r="A13" s="75" t="s">
        <v>18</v>
      </c>
      <c r="B13" s="75"/>
      <c r="E13" s="75" t="s">
        <v>19</v>
      </c>
      <c r="F13" s="75"/>
    </row>
    <row r="14" spans="1:6">
      <c r="A14" s="77" t="s">
        <v>20</v>
      </c>
      <c r="B14" s="36">
        <v>20</v>
      </c>
      <c r="E14" s="77" t="str">
        <f>A14</f>
        <v>p</v>
      </c>
      <c r="F14" s="77">
        <f>H4</f>
        <v>18</v>
      </c>
    </row>
    <row r="15" spans="1:6">
      <c r="A15" s="77" t="s">
        <v>21</v>
      </c>
      <c r="B15" s="36">
        <v>10</v>
      </c>
      <c r="E15" s="77" t="str">
        <f>A15</f>
        <v>v</v>
      </c>
      <c r="F15" s="77">
        <f>B15</f>
        <v>10</v>
      </c>
    </row>
    <row r="16" spans="1:6">
      <c r="A16" s="77" t="s">
        <v>22</v>
      </c>
      <c r="B16" s="36">
        <f>B14-B15</f>
        <v>10</v>
      </c>
      <c r="E16" s="77" t="str">
        <f>A16</f>
        <v>m</v>
      </c>
      <c r="F16" s="77">
        <f>F14-F15</f>
        <v>8</v>
      </c>
    </row>
    <row r="17" spans="1:6">
      <c r="A17" s="77" t="s">
        <v>23</v>
      </c>
      <c r="B17" s="36">
        <v>4800</v>
      </c>
      <c r="E17" s="77"/>
      <c r="F17" s="77"/>
    </row>
    <row r="18" spans="1:6">
      <c r="A18" s="77" t="s">
        <v>24</v>
      </c>
      <c r="B18" s="36">
        <f>B16*B17</f>
        <v>48000</v>
      </c>
      <c r="E18" s="77" t="s">
        <v>24</v>
      </c>
      <c r="F18" s="77">
        <f>B18</f>
        <v>48000</v>
      </c>
    </row>
    <row r="19" spans="1:6">
      <c r="A19" s="77" t="s">
        <v>25</v>
      </c>
      <c r="B19" s="36">
        <v>36000</v>
      </c>
      <c r="E19" s="77" t="s">
        <v>25</v>
      </c>
      <c r="F19" s="77">
        <v>36000</v>
      </c>
    </row>
    <row r="20" spans="1:6">
      <c r="A20" s="77" t="s">
        <v>26</v>
      </c>
      <c r="B20" s="36">
        <f>B18-B19</f>
        <v>12000</v>
      </c>
      <c r="E20" s="77" t="s">
        <v>26</v>
      </c>
      <c r="F20" s="77">
        <f>F18-F19</f>
        <v>12000</v>
      </c>
    </row>
    <row r="21" spans="1:6">
      <c r="A21" s="81" t="s">
        <v>27</v>
      </c>
      <c r="B21" s="36">
        <f>B19/B16</f>
        <v>3600</v>
      </c>
      <c r="E21" s="81" t="s">
        <v>27</v>
      </c>
      <c r="F21" s="75">
        <f>F19/F16</f>
        <v>4500</v>
      </c>
    </row>
    <row r="22" spans="1:6">
      <c r="A22" s="81" t="s">
        <v>28</v>
      </c>
      <c r="B22" s="36">
        <f>B17-B21</f>
        <v>1200</v>
      </c>
      <c r="E22" s="81" t="s">
        <v>28</v>
      </c>
      <c r="F22" s="77">
        <f>F23-F21</f>
        <v>1500</v>
      </c>
    </row>
    <row r="23" spans="1:6">
      <c r="A23" s="36" t="s">
        <v>29</v>
      </c>
      <c r="B23" s="82">
        <f>B22/B17</f>
        <v>0.25</v>
      </c>
      <c r="E23" s="77" t="s">
        <v>30</v>
      </c>
      <c r="F23" s="77">
        <f>F18/F16</f>
        <v>6000</v>
      </c>
    </row>
  </sheetData>
  <mergeCells count="4">
    <mergeCell ref="A1:E1"/>
    <mergeCell ref="A9:D9"/>
    <mergeCell ref="A13:B13"/>
    <mergeCell ref="E13:F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43"/>
  <sheetViews>
    <sheetView topLeftCell="A7" workbookViewId="0">
      <selection activeCell="G47" sqref="G47"/>
    </sheetView>
  </sheetViews>
  <sheetFormatPr defaultColWidth="9" defaultRowHeight="13.5" outlineLevelCol="3"/>
  <cols>
    <col min="1" max="1" width="11.25" customWidth="1"/>
    <col min="2" max="2" width="11.5"/>
  </cols>
  <sheetData>
    <row r="2" spans="1:1">
      <c r="A2" t="s">
        <v>31</v>
      </c>
    </row>
    <row r="3" spans="1:1">
      <c r="A3" t="s">
        <v>32</v>
      </c>
    </row>
    <row r="4" spans="1:1">
      <c r="A4" t="s">
        <v>33</v>
      </c>
    </row>
    <row r="5" spans="1:1">
      <c r="A5" t="s">
        <v>34</v>
      </c>
    </row>
    <row r="6" spans="1:1">
      <c r="A6" t="s">
        <v>35</v>
      </c>
    </row>
    <row r="7" spans="1:1">
      <c r="A7" t="s">
        <v>36</v>
      </c>
    </row>
    <row r="8" spans="1:1">
      <c r="A8" t="s">
        <v>37</v>
      </c>
    </row>
    <row r="9" spans="1:1">
      <c r="A9" t="s">
        <v>38</v>
      </c>
    </row>
    <row r="10" spans="1:1">
      <c r="A10" t="s">
        <v>39</v>
      </c>
    </row>
    <row r="11" spans="1:1">
      <c r="A11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36</v>
      </c>
    </row>
    <row r="16" spans="1:1">
      <c r="A16" t="s">
        <v>43</v>
      </c>
    </row>
    <row r="17" spans="1:1">
      <c r="A17" t="s">
        <v>38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2" spans="1:1">
      <c r="A22" t="s">
        <v>47</v>
      </c>
    </row>
    <row r="23" spans="1:1">
      <c r="A23" t="s">
        <v>48</v>
      </c>
    </row>
    <row r="24" spans="1:1">
      <c r="A24" t="s">
        <v>49</v>
      </c>
    </row>
    <row r="25" spans="1:1">
      <c r="A25" t="s">
        <v>50</v>
      </c>
    </row>
    <row r="26" spans="1:1">
      <c r="A26" t="s">
        <v>51</v>
      </c>
    </row>
    <row r="27" spans="1:1">
      <c r="A27" t="s">
        <v>52</v>
      </c>
    </row>
    <row r="28" spans="1:1">
      <c r="A28" t="s">
        <v>53</v>
      </c>
    </row>
    <row r="29" spans="1:1">
      <c r="A29" t="s">
        <v>54</v>
      </c>
    </row>
    <row r="31" spans="1:4">
      <c r="A31" s="75" t="s">
        <v>55</v>
      </c>
      <c r="B31" s="75"/>
      <c r="C31" s="76"/>
      <c r="D31" s="76"/>
    </row>
    <row r="32" spans="1:2">
      <c r="A32" s="36" t="s">
        <v>56</v>
      </c>
      <c r="B32" s="79">
        <f>4*17696+10*7000</f>
        <v>140784</v>
      </c>
    </row>
    <row r="33" spans="1:2">
      <c r="A33" s="36" t="s">
        <v>57</v>
      </c>
      <c r="B33" s="36">
        <v>54000</v>
      </c>
    </row>
    <row r="34" spans="1:2">
      <c r="A34" s="36" t="s">
        <v>58</v>
      </c>
      <c r="B34" s="36">
        <f>B32-B33</f>
        <v>86784</v>
      </c>
    </row>
    <row r="36" spans="1:2">
      <c r="A36" s="75" t="s">
        <v>59</v>
      </c>
      <c r="B36" s="75"/>
    </row>
    <row r="37" spans="1:2">
      <c r="A37" s="36" t="s">
        <v>60</v>
      </c>
      <c r="B37" s="36">
        <f>17696*3+7000*3</f>
        <v>74088</v>
      </c>
    </row>
    <row r="38" spans="1:2">
      <c r="A38" s="36" t="s">
        <v>57</v>
      </c>
      <c r="B38" s="36">
        <v>25000</v>
      </c>
    </row>
    <row r="39" spans="1:2">
      <c r="A39" s="36" t="s">
        <v>61</v>
      </c>
      <c r="B39" s="36">
        <f>B37-B38</f>
        <v>49088</v>
      </c>
    </row>
    <row r="41" spans="1:1">
      <c r="A41" t="s">
        <v>62</v>
      </c>
    </row>
    <row r="42" spans="1:1">
      <c r="A42" t="s">
        <v>63</v>
      </c>
    </row>
    <row r="43" spans="1:1">
      <c r="A43" t="s">
        <v>64</v>
      </c>
    </row>
  </sheetData>
  <mergeCells count="2">
    <mergeCell ref="A31:B31"/>
    <mergeCell ref="A36:B36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81"/>
  <sheetViews>
    <sheetView topLeftCell="A41" workbookViewId="0">
      <selection activeCell="C82" sqref="C82"/>
    </sheetView>
  </sheetViews>
  <sheetFormatPr defaultColWidth="9" defaultRowHeight="13.5" outlineLevelCol="2"/>
  <cols>
    <col min="1" max="3" width="16.375" customWidth="1"/>
  </cols>
  <sheetData>
    <row r="2" ht="14.25" spans="1:1">
      <c r="A2" s="38" t="s">
        <v>65</v>
      </c>
    </row>
    <row r="3" ht="14.25" spans="1:3">
      <c r="A3" s="68" t="s">
        <v>66</v>
      </c>
      <c r="B3" s="68" t="s">
        <v>67</v>
      </c>
      <c r="C3" s="69" t="s">
        <v>68</v>
      </c>
    </row>
    <row r="4" ht="14.25" spans="1:3">
      <c r="A4" s="70"/>
      <c r="B4" s="71" t="s">
        <v>69</v>
      </c>
      <c r="C4" s="71" t="s">
        <v>70</v>
      </c>
    </row>
    <row r="5" ht="14.25" spans="1:3">
      <c r="A5" s="41" t="s">
        <v>71</v>
      </c>
      <c r="B5" s="72">
        <v>8.125</v>
      </c>
      <c r="C5" s="72" t="s">
        <v>72</v>
      </c>
    </row>
    <row r="6" ht="14.25" spans="1:3">
      <c r="A6" s="71" t="s">
        <v>66</v>
      </c>
      <c r="B6" s="71" t="s">
        <v>67</v>
      </c>
      <c r="C6" s="72" t="s">
        <v>68</v>
      </c>
    </row>
    <row r="7" ht="14.25" spans="1:3">
      <c r="A7" s="70"/>
      <c r="B7" s="71" t="s">
        <v>69</v>
      </c>
      <c r="C7" s="71" t="s">
        <v>70</v>
      </c>
    </row>
    <row r="8" ht="14.25" spans="1:3">
      <c r="A8" s="41" t="s">
        <v>73</v>
      </c>
      <c r="B8" s="72">
        <v>4.025</v>
      </c>
      <c r="C8" s="73">
        <v>322000</v>
      </c>
    </row>
    <row r="9" ht="14.25" spans="1:3">
      <c r="A9" s="41" t="s">
        <v>74</v>
      </c>
      <c r="B9" s="72">
        <v>0.975</v>
      </c>
      <c r="C9" s="73">
        <v>78000</v>
      </c>
    </row>
    <row r="10" ht="14.25" spans="1:3">
      <c r="A10" s="41" t="s">
        <v>75</v>
      </c>
      <c r="B10" s="72">
        <v>3.125</v>
      </c>
      <c r="C10" s="73">
        <v>250000</v>
      </c>
    </row>
    <row r="11" ht="14.25" spans="1:3">
      <c r="A11" s="41" t="s">
        <v>76</v>
      </c>
      <c r="B11" s="72">
        <v>1.5</v>
      </c>
      <c r="C11" s="73">
        <v>120000</v>
      </c>
    </row>
    <row r="12" ht="23.25" spans="1:3">
      <c r="A12" s="41" t="s">
        <v>77</v>
      </c>
      <c r="B12" s="72">
        <v>0.5</v>
      </c>
      <c r="C12" s="73">
        <v>40000</v>
      </c>
    </row>
    <row r="13" ht="26.25" spans="1:3">
      <c r="A13" s="41" t="s">
        <v>78</v>
      </c>
      <c r="B13" s="72">
        <v>1</v>
      </c>
      <c r="C13" s="73">
        <v>80000</v>
      </c>
    </row>
    <row r="14" ht="14.25" spans="1:3">
      <c r="A14" s="41" t="s">
        <v>79</v>
      </c>
      <c r="B14" s="72">
        <v>0.375</v>
      </c>
      <c r="C14" s="73">
        <v>30000</v>
      </c>
    </row>
    <row r="15" spans="1:1">
      <c r="A15" s="74" t="s">
        <v>80</v>
      </c>
    </row>
    <row r="17" spans="1:1">
      <c r="A17" t="s">
        <v>81</v>
      </c>
    </row>
    <row r="18" spans="1:2">
      <c r="A18" t="s">
        <v>82</v>
      </c>
      <c r="B18">
        <f>B8+B9+B10*0.2+B13*0.2+B12</f>
        <v>6.325</v>
      </c>
    </row>
    <row r="19" spans="1:1">
      <c r="A19" t="s">
        <v>83</v>
      </c>
    </row>
    <row r="20" spans="1:1">
      <c r="A20" t="s">
        <v>84</v>
      </c>
    </row>
    <row r="21" spans="1:2">
      <c r="A21" s="75" t="s">
        <v>85</v>
      </c>
      <c r="B21" s="75"/>
    </row>
    <row r="22" spans="1:2">
      <c r="A22" s="36" t="s">
        <v>86</v>
      </c>
      <c r="B22" s="36">
        <v>100000</v>
      </c>
    </row>
    <row r="23" spans="1:2">
      <c r="A23" s="36" t="s">
        <v>87</v>
      </c>
      <c r="B23" s="36">
        <v>80000</v>
      </c>
    </row>
    <row r="24" spans="1:2">
      <c r="A24" s="36" t="s">
        <v>88</v>
      </c>
      <c r="B24" s="36">
        <f>B22-B23</f>
        <v>20000</v>
      </c>
    </row>
    <row r="25" spans="1:2">
      <c r="A25" s="36" t="s">
        <v>89</v>
      </c>
      <c r="B25" s="36">
        <v>30000</v>
      </c>
    </row>
    <row r="26" spans="1:2">
      <c r="A26" s="36" t="s">
        <v>90</v>
      </c>
      <c r="B26" s="36">
        <v>10000</v>
      </c>
    </row>
    <row r="28" spans="1:1">
      <c r="A28" t="s">
        <v>91</v>
      </c>
    </row>
    <row r="29" spans="1:1">
      <c r="A29" t="s">
        <v>92</v>
      </c>
    </row>
    <row r="30" spans="1:2">
      <c r="A30" t="s">
        <v>93</v>
      </c>
      <c r="B30" t="s">
        <v>94</v>
      </c>
    </row>
    <row r="31" spans="1:1">
      <c r="A31" s="76" t="s">
        <v>95</v>
      </c>
    </row>
    <row r="33" spans="1:3">
      <c r="A33" s="75" t="s">
        <v>96</v>
      </c>
      <c r="B33" s="75"/>
      <c r="C33" s="75"/>
    </row>
    <row r="34" spans="1:3">
      <c r="A34" s="36" t="s">
        <v>97</v>
      </c>
      <c r="B34" s="36"/>
      <c r="C34" s="77" t="s">
        <v>98</v>
      </c>
    </row>
    <row r="35" spans="1:3">
      <c r="A35" s="36" t="s">
        <v>99</v>
      </c>
      <c r="B35" s="36">
        <v>70000</v>
      </c>
      <c r="C35" s="36">
        <f>B35*10</f>
        <v>700000</v>
      </c>
    </row>
    <row r="36" spans="1:3">
      <c r="A36" s="36" t="s">
        <v>100</v>
      </c>
      <c r="B36" s="36">
        <v>30000</v>
      </c>
      <c r="C36" s="36">
        <f>B36*7.5</f>
        <v>225000</v>
      </c>
    </row>
    <row r="37" spans="1:3">
      <c r="A37" s="36" t="s">
        <v>12</v>
      </c>
      <c r="B37" s="36"/>
      <c r="C37" s="36">
        <f>C35+C36</f>
        <v>925000</v>
      </c>
    </row>
    <row r="38" spans="1:3">
      <c r="A38" s="36" t="s">
        <v>101</v>
      </c>
      <c r="B38" s="36"/>
      <c r="C38" s="36"/>
    </row>
    <row r="39" spans="1:3">
      <c r="A39" s="36" t="s">
        <v>102</v>
      </c>
      <c r="B39" s="36"/>
      <c r="C39" s="36">
        <f>B35*B18</f>
        <v>442750</v>
      </c>
    </row>
    <row r="40" spans="1:3">
      <c r="A40" s="36" t="s">
        <v>103</v>
      </c>
      <c r="B40" s="36"/>
      <c r="C40" s="36">
        <f>B36*5.825</f>
        <v>174750</v>
      </c>
    </row>
    <row r="41" spans="1:3">
      <c r="A41" s="36" t="s">
        <v>12</v>
      </c>
      <c r="B41" s="36"/>
      <c r="C41" s="36">
        <f>C39+C40</f>
        <v>617500</v>
      </c>
    </row>
    <row r="42" spans="1:3">
      <c r="A42" s="36" t="s">
        <v>56</v>
      </c>
      <c r="B42" s="36"/>
      <c r="C42" s="36">
        <f>C37-C41</f>
        <v>307500</v>
      </c>
    </row>
    <row r="43" spans="1:3">
      <c r="A43" s="36" t="s">
        <v>104</v>
      </c>
      <c r="B43" s="36"/>
      <c r="C43" s="36">
        <f>C10*0.8+C13*0.8</f>
        <v>264000</v>
      </c>
    </row>
    <row r="44" spans="1:3">
      <c r="A44" s="36" t="s">
        <v>105</v>
      </c>
      <c r="B44" s="36"/>
      <c r="C44" s="36">
        <f>C42-C43</f>
        <v>43500</v>
      </c>
    </row>
    <row r="45" spans="1:3">
      <c r="A45" s="36" t="s">
        <v>106</v>
      </c>
      <c r="B45" s="36"/>
      <c r="C45" s="36">
        <f>C14</f>
        <v>30000</v>
      </c>
    </row>
    <row r="46" spans="1:3">
      <c r="A46" s="36" t="s">
        <v>107</v>
      </c>
      <c r="B46" s="36"/>
      <c r="C46" s="36">
        <f>C44-C45</f>
        <v>13500</v>
      </c>
    </row>
    <row r="48" spans="1:1">
      <c r="A48" t="s">
        <v>108</v>
      </c>
    </row>
    <row r="49" spans="1:3">
      <c r="A49" s="75" t="s">
        <v>109</v>
      </c>
      <c r="B49" s="75"/>
      <c r="C49" s="75"/>
    </row>
    <row r="50" spans="1:3">
      <c r="A50" s="78" t="s">
        <v>97</v>
      </c>
      <c r="B50" s="78"/>
      <c r="C50" s="78" t="s">
        <v>98</v>
      </c>
    </row>
    <row r="51" spans="1:3">
      <c r="A51" s="78" t="s">
        <v>99</v>
      </c>
      <c r="B51" s="78">
        <v>80000</v>
      </c>
      <c r="C51" s="78">
        <v>800000</v>
      </c>
    </row>
    <row r="52" spans="1:3">
      <c r="A52" s="78" t="s">
        <v>100</v>
      </c>
      <c r="B52" s="78">
        <v>30000</v>
      </c>
      <c r="C52" s="78">
        <v>225000</v>
      </c>
    </row>
    <row r="53" spans="1:3">
      <c r="A53" s="78" t="s">
        <v>12</v>
      </c>
      <c r="B53" s="78"/>
      <c r="C53" s="78">
        <f>C51+C52</f>
        <v>1025000</v>
      </c>
    </row>
    <row r="54" spans="1:3">
      <c r="A54" s="78" t="s">
        <v>101</v>
      </c>
      <c r="B54" s="78"/>
      <c r="C54" s="78"/>
    </row>
    <row r="55" spans="1:3">
      <c r="A55" s="78" t="s">
        <v>102</v>
      </c>
      <c r="B55" s="78"/>
      <c r="C55" s="78">
        <f>B51*B18</f>
        <v>506000</v>
      </c>
    </row>
    <row r="56" spans="1:3">
      <c r="A56" s="78" t="s">
        <v>103</v>
      </c>
      <c r="B56" s="78"/>
      <c r="C56" s="78">
        <f>30000*5.825+10000*1.8</f>
        <v>192750</v>
      </c>
    </row>
    <row r="57" spans="1:3">
      <c r="A57" s="78" t="s">
        <v>12</v>
      </c>
      <c r="B57" s="78"/>
      <c r="C57" s="78">
        <f>C55+C56</f>
        <v>698750</v>
      </c>
    </row>
    <row r="58" spans="1:3">
      <c r="A58" s="78" t="s">
        <v>56</v>
      </c>
      <c r="B58" s="78"/>
      <c r="C58" s="78">
        <f>C53-C57</f>
        <v>326250</v>
      </c>
    </row>
    <row r="59" spans="1:3">
      <c r="A59" s="78" t="s">
        <v>104</v>
      </c>
      <c r="B59" s="78"/>
      <c r="C59" s="78">
        <v>264000</v>
      </c>
    </row>
    <row r="60" spans="1:3">
      <c r="A60" s="78" t="s">
        <v>105</v>
      </c>
      <c r="B60" s="78"/>
      <c r="C60" s="78">
        <f>C58-C59</f>
        <v>62250</v>
      </c>
    </row>
    <row r="61" spans="1:3">
      <c r="A61" s="78" t="s">
        <v>106</v>
      </c>
      <c r="B61" s="78"/>
      <c r="C61" s="78">
        <v>30000</v>
      </c>
    </row>
    <row r="62" spans="1:3">
      <c r="A62" s="78" t="s">
        <v>107</v>
      </c>
      <c r="B62" s="78"/>
      <c r="C62" s="78">
        <f>C60-C61</f>
        <v>32250</v>
      </c>
    </row>
    <row r="64" spans="1:1">
      <c r="A64" t="s">
        <v>110</v>
      </c>
    </row>
    <row r="65" spans="1:1">
      <c r="A65" t="s">
        <v>111</v>
      </c>
    </row>
    <row r="67" spans="1:3">
      <c r="A67" s="78" t="s">
        <v>97</v>
      </c>
      <c r="B67" s="78"/>
      <c r="C67" s="78" t="s">
        <v>98</v>
      </c>
    </row>
    <row r="68" spans="1:3">
      <c r="A68" s="78" t="s">
        <v>99</v>
      </c>
      <c r="B68" s="78">
        <v>80000</v>
      </c>
      <c r="C68" s="78">
        <v>800000</v>
      </c>
    </row>
    <row r="69" spans="1:3">
      <c r="A69" s="78" t="s">
        <v>100</v>
      </c>
      <c r="B69" s="78">
        <v>30000</v>
      </c>
      <c r="C69" s="78">
        <v>225000</v>
      </c>
    </row>
    <row r="70" spans="1:3">
      <c r="A70" s="78" t="s">
        <v>12</v>
      </c>
      <c r="B70" s="78"/>
      <c r="C70" s="78">
        <v>1025000</v>
      </c>
    </row>
    <row r="71" spans="1:3">
      <c r="A71" s="78" t="s">
        <v>101</v>
      </c>
      <c r="B71" s="78"/>
      <c r="C71" s="78"/>
    </row>
    <row r="72" spans="1:3">
      <c r="A72" s="78" t="s">
        <v>102</v>
      </c>
      <c r="B72" s="78"/>
      <c r="C72" s="78">
        <v>506000</v>
      </c>
    </row>
    <row r="73" spans="1:3">
      <c r="A73" s="78" t="s">
        <v>103</v>
      </c>
      <c r="B73" s="78"/>
      <c r="C73" s="78">
        <f>30000*5.625+40000</f>
        <v>208750</v>
      </c>
    </row>
    <row r="74" spans="1:3">
      <c r="A74" s="78" t="s">
        <v>12</v>
      </c>
      <c r="B74" s="78"/>
      <c r="C74" s="78">
        <f>C72+C73</f>
        <v>714750</v>
      </c>
    </row>
    <row r="75" spans="1:3">
      <c r="A75" s="78" t="s">
        <v>56</v>
      </c>
      <c r="B75" s="78"/>
      <c r="C75" s="78">
        <f>C70-C74</f>
        <v>310250</v>
      </c>
    </row>
    <row r="76" spans="1:3">
      <c r="A76" s="78" t="s">
        <v>104</v>
      </c>
      <c r="B76" s="78"/>
      <c r="C76" s="78">
        <v>264000</v>
      </c>
    </row>
    <row r="77" spans="1:3">
      <c r="A77" s="78" t="s">
        <v>105</v>
      </c>
      <c r="B77" s="78"/>
      <c r="C77" s="78">
        <f>C75-C76</f>
        <v>46250</v>
      </c>
    </row>
    <row r="78" spans="1:3">
      <c r="A78" s="78" t="s">
        <v>106</v>
      </c>
      <c r="B78" s="78"/>
      <c r="C78" s="78">
        <v>30000</v>
      </c>
    </row>
    <row r="79" spans="1:3">
      <c r="A79" s="78" t="s">
        <v>107</v>
      </c>
      <c r="B79" s="78"/>
      <c r="C79" s="78">
        <f>C77-C78</f>
        <v>16250</v>
      </c>
    </row>
    <row r="81" spans="1:1">
      <c r="A81" t="s">
        <v>112</v>
      </c>
    </row>
  </sheetData>
  <mergeCells count="3">
    <mergeCell ref="A21:B21"/>
    <mergeCell ref="A33:C33"/>
    <mergeCell ref="A49:C49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9:G91"/>
  <sheetViews>
    <sheetView topLeftCell="A63" workbookViewId="0">
      <selection activeCell="D99" sqref="D99"/>
    </sheetView>
  </sheetViews>
  <sheetFormatPr defaultColWidth="9" defaultRowHeight="13.5" outlineLevelCol="6"/>
  <cols>
    <col min="1" max="1" width="20.875" customWidth="1"/>
    <col min="2" max="2" width="19" customWidth="1"/>
    <col min="3" max="3" width="15.25" customWidth="1"/>
    <col min="4" max="4" width="13.75" customWidth="1"/>
    <col min="5" max="6" width="12.625" customWidth="1"/>
  </cols>
  <sheetData>
    <row r="19" spans="1:1">
      <c r="A19" s="38" t="s">
        <v>113</v>
      </c>
    </row>
    <row r="20" ht="14.25" spans="1:3">
      <c r="A20" t="s">
        <v>1</v>
      </c>
      <c r="B20" t="s">
        <v>114</v>
      </c>
      <c r="C20" s="14" t="s">
        <v>115</v>
      </c>
    </row>
    <row r="21" ht="14.25" spans="1:3">
      <c r="A21" s="39" t="s">
        <v>116</v>
      </c>
      <c r="B21" s="40">
        <v>10000</v>
      </c>
      <c r="C21" s="1"/>
    </row>
    <row r="22" ht="14.25" spans="1:3">
      <c r="A22" s="41" t="s">
        <v>117</v>
      </c>
      <c r="B22" s="42">
        <v>8000</v>
      </c>
      <c r="C22" s="1"/>
    </row>
    <row r="23" ht="14.25" spans="1:3">
      <c r="A23" s="41" t="s">
        <v>118</v>
      </c>
      <c r="B23" s="42">
        <v>15000</v>
      </c>
      <c r="C23" s="1"/>
    </row>
    <row r="24" ht="14.25" spans="1:3">
      <c r="A24" s="41" t="s">
        <v>119</v>
      </c>
      <c r="B24" s="42">
        <v>5600</v>
      </c>
      <c r="C24" s="1"/>
    </row>
    <row r="25" ht="14.25" spans="1:3">
      <c r="A25" s="41" t="s">
        <v>120</v>
      </c>
      <c r="B25" s="42">
        <v>5000</v>
      </c>
      <c r="C25" s="1"/>
    </row>
    <row r="26" ht="14.25" spans="1:3">
      <c r="A26" s="41" t="s">
        <v>121</v>
      </c>
      <c r="B26" s="42">
        <v>1000</v>
      </c>
      <c r="C26" s="1"/>
    </row>
    <row r="27" ht="21" customHeight="1" spans="1:3">
      <c r="A27" s="41" t="s">
        <v>122</v>
      </c>
      <c r="B27" s="42">
        <v>1400</v>
      </c>
      <c r="C27" s="1">
        <v>2600</v>
      </c>
    </row>
    <row r="28" ht="14.25" spans="1:3">
      <c r="A28" s="41" t="s">
        <v>123</v>
      </c>
      <c r="B28" s="42">
        <v>800</v>
      </c>
      <c r="C28" s="1"/>
    </row>
    <row r="29" spans="1:3">
      <c r="A29" s="41" t="s">
        <v>124</v>
      </c>
      <c r="B29" s="42">
        <v>1200</v>
      </c>
      <c r="C29" s="1"/>
    </row>
    <row r="30" spans="1:3">
      <c r="A30" s="41" t="s">
        <v>125</v>
      </c>
      <c r="B30" s="42">
        <v>48000</v>
      </c>
      <c r="C30" s="1">
        <f>B30+C27-B27</f>
        <v>49200</v>
      </c>
    </row>
    <row r="31" spans="3:3">
      <c r="C31" s="1"/>
    </row>
    <row r="32" spans="3:3">
      <c r="C32" s="1"/>
    </row>
    <row r="33" ht="14.25" spans="1:3">
      <c r="A33" s="38" t="s">
        <v>126</v>
      </c>
      <c r="C33" s="1"/>
    </row>
    <row r="34" ht="23.25" spans="1:3">
      <c r="A34" s="39" t="s">
        <v>127</v>
      </c>
      <c r="B34" s="40">
        <v>8</v>
      </c>
      <c r="C34" s="1"/>
    </row>
    <row r="35" ht="34.5" spans="1:3">
      <c r="A35" s="41" t="s">
        <v>128</v>
      </c>
      <c r="B35" s="42">
        <v>2</v>
      </c>
      <c r="C35" s="1">
        <v>3</v>
      </c>
    </row>
    <row r="36" spans="1:3">
      <c r="A36" s="41" t="s">
        <v>129</v>
      </c>
      <c r="B36" s="42">
        <v>10</v>
      </c>
      <c r="C36" s="1">
        <v>11</v>
      </c>
    </row>
    <row r="37" ht="14.25" spans="3:3">
      <c r="C37" s="1"/>
    </row>
    <row r="38" spans="1:3">
      <c r="A38" s="43" t="s">
        <v>130</v>
      </c>
      <c r="B38" s="44">
        <v>16</v>
      </c>
      <c r="C38" s="1">
        <v>18</v>
      </c>
    </row>
    <row r="39" spans="1:3">
      <c r="A39" s="45" t="s">
        <v>131</v>
      </c>
      <c r="B39" s="46">
        <v>10</v>
      </c>
      <c r="C39" s="1"/>
    </row>
    <row r="40" spans="1:3">
      <c r="A40" s="45" t="s">
        <v>132</v>
      </c>
      <c r="B40" s="46">
        <f>B38-B39</f>
        <v>6</v>
      </c>
      <c r="C40" s="1">
        <f>C38-B39</f>
        <v>8</v>
      </c>
    </row>
    <row r="41" spans="1:3">
      <c r="A41" s="45" t="s">
        <v>133</v>
      </c>
      <c r="B41" s="47">
        <f>B40/B38</f>
        <v>0.375</v>
      </c>
      <c r="C41" s="1"/>
    </row>
    <row r="42" spans="1:3">
      <c r="A42" s="48" t="s">
        <v>134</v>
      </c>
      <c r="B42" s="49">
        <f>B30/B40</f>
        <v>8000</v>
      </c>
      <c r="C42" s="1">
        <f>B30/C40</f>
        <v>6000</v>
      </c>
    </row>
    <row r="43" spans="1:3">
      <c r="A43" s="45" t="s">
        <v>135</v>
      </c>
      <c r="B43" s="46">
        <v>3600</v>
      </c>
      <c r="C43" s="1"/>
    </row>
    <row r="44" ht="14.25" spans="1:3">
      <c r="A44" s="50" t="s">
        <v>136</v>
      </c>
      <c r="B44" s="51">
        <f>(B43+B30)/B40</f>
        <v>8600</v>
      </c>
      <c r="C44" s="1">
        <f>(B43+B30)/C40</f>
        <v>6450</v>
      </c>
    </row>
    <row r="45" spans="1:3">
      <c r="A45" s="52" t="s">
        <v>137</v>
      </c>
      <c r="B45" s="53">
        <f>B44*16</f>
        <v>137600</v>
      </c>
      <c r="C45" s="1"/>
    </row>
    <row r="46" spans="1:3">
      <c r="A46" s="36" t="s">
        <v>138</v>
      </c>
      <c r="B46" s="46">
        <v>450</v>
      </c>
      <c r="C46" s="1"/>
    </row>
    <row r="47" spans="1:3">
      <c r="A47" s="36" t="s">
        <v>139</v>
      </c>
      <c r="B47" s="46">
        <v>20</v>
      </c>
      <c r="C47" s="1"/>
    </row>
    <row r="48" spans="1:3">
      <c r="A48" s="54" t="s">
        <v>140</v>
      </c>
      <c r="B48" s="55">
        <f>B46*B47</f>
        <v>9000</v>
      </c>
      <c r="C48" s="1"/>
    </row>
    <row r="49" spans="1:3">
      <c r="A49" s="36" t="s">
        <v>130</v>
      </c>
      <c r="B49" s="46">
        <v>16</v>
      </c>
      <c r="C49" s="1"/>
    </row>
    <row r="50" spans="1:3">
      <c r="A50" s="36" t="s">
        <v>141</v>
      </c>
      <c r="B50" s="46">
        <f>B48*B49</f>
        <v>144000</v>
      </c>
      <c r="C50" s="1"/>
    </row>
    <row r="51" spans="1:3">
      <c r="A51" s="36" t="s">
        <v>142</v>
      </c>
      <c r="B51" s="46">
        <f>B50-B45</f>
        <v>6400</v>
      </c>
      <c r="C51" s="1"/>
    </row>
    <row r="52" spans="1:3">
      <c r="A52" s="36" t="s">
        <v>143</v>
      </c>
      <c r="B52" s="46">
        <f>B48-B42</f>
        <v>1000</v>
      </c>
      <c r="C52" s="1"/>
    </row>
    <row r="53" spans="1:3">
      <c r="A53" s="36" t="s">
        <v>144</v>
      </c>
      <c r="B53" s="46">
        <f>B52*B40</f>
        <v>6000</v>
      </c>
      <c r="C53" s="1"/>
    </row>
    <row r="56" spans="1:1">
      <c r="A56" t="s">
        <v>145</v>
      </c>
    </row>
    <row r="57" spans="1:1">
      <c r="A57" t="s">
        <v>146</v>
      </c>
    </row>
    <row r="58" spans="1:2">
      <c r="A58" t="s">
        <v>134</v>
      </c>
      <c r="B58">
        <f>C30/B40</f>
        <v>8200</v>
      </c>
    </row>
    <row r="59" spans="1:1">
      <c r="A59" t="s">
        <v>147</v>
      </c>
    </row>
    <row r="60" spans="1:2">
      <c r="A60" t="s">
        <v>134</v>
      </c>
      <c r="B60">
        <f>(B30-6000)/B40</f>
        <v>7000</v>
      </c>
    </row>
    <row r="61" spans="1:1">
      <c r="A61" t="s">
        <v>148</v>
      </c>
    </row>
    <row r="62" spans="1:3">
      <c r="A62" t="s">
        <v>134</v>
      </c>
      <c r="B62">
        <f>B30/(B38-C36)</f>
        <v>9600</v>
      </c>
      <c r="C62" t="s">
        <v>149</v>
      </c>
    </row>
    <row r="63" spans="1:1">
      <c r="A63" t="s">
        <v>150</v>
      </c>
    </row>
    <row r="64" spans="1:7">
      <c r="A64" s="56" t="s">
        <v>151</v>
      </c>
      <c r="B64" s="57"/>
      <c r="C64" s="57"/>
      <c r="D64" s="57"/>
      <c r="E64" s="57"/>
      <c r="F64" s="57"/>
      <c r="G64" s="57"/>
    </row>
    <row r="65" spans="1:7">
      <c r="A65" s="58" t="s">
        <v>152</v>
      </c>
      <c r="B65" s="58" t="s">
        <v>153</v>
      </c>
      <c r="C65" s="58" t="s">
        <v>132</v>
      </c>
      <c r="D65" s="58" t="s">
        <v>154</v>
      </c>
      <c r="E65" s="59" t="s">
        <v>155</v>
      </c>
      <c r="F65" s="58" t="s">
        <v>156</v>
      </c>
      <c r="G65" s="59" t="s">
        <v>157</v>
      </c>
    </row>
    <row r="66" spans="1:7">
      <c r="A66" s="60">
        <v>16</v>
      </c>
      <c r="B66" s="60">
        <v>9000</v>
      </c>
      <c r="C66" s="60">
        <f>B40</f>
        <v>6</v>
      </c>
      <c r="D66" s="60">
        <f>B42</f>
        <v>8000</v>
      </c>
      <c r="E66" s="61">
        <f>(B66-D66)*C66</f>
        <v>6000</v>
      </c>
      <c r="F66" s="60">
        <v>10000</v>
      </c>
      <c r="G66" s="61">
        <f>E66+F66</f>
        <v>16000</v>
      </c>
    </row>
    <row r="67" spans="1:7">
      <c r="A67" s="60">
        <v>20</v>
      </c>
      <c r="B67" s="60">
        <v>6000</v>
      </c>
      <c r="C67" s="60">
        <f>A67-B39</f>
        <v>10</v>
      </c>
      <c r="D67" s="60">
        <f>B30/C67</f>
        <v>4800</v>
      </c>
      <c r="E67" s="61">
        <f>(B67-D67)*C67</f>
        <v>12000</v>
      </c>
      <c r="F67" s="60">
        <v>0</v>
      </c>
      <c r="G67" s="61">
        <f>E67+F67</f>
        <v>12000</v>
      </c>
    </row>
    <row r="69" spans="1:1">
      <c r="A69" t="s">
        <v>158</v>
      </c>
    </row>
    <row r="70" ht="14.25" spans="1:1">
      <c r="A70" s="62" t="s">
        <v>159</v>
      </c>
    </row>
    <row r="71" ht="24" spans="1:6">
      <c r="A71" s="63" t="s">
        <v>160</v>
      </c>
      <c r="B71" s="64" t="s">
        <v>161</v>
      </c>
      <c r="C71" s="64" t="s">
        <v>162</v>
      </c>
      <c r="D71" s="64" t="s">
        <v>163</v>
      </c>
      <c r="E71" s="64" t="s">
        <v>164</v>
      </c>
      <c r="F71" s="65" t="s">
        <v>165</v>
      </c>
    </row>
    <row r="72" ht="14.25" spans="1:6">
      <c r="A72" s="66" t="s">
        <v>166</v>
      </c>
      <c r="B72" s="67">
        <v>16</v>
      </c>
      <c r="C72" s="67">
        <v>10</v>
      </c>
      <c r="D72" s="67">
        <v>6</v>
      </c>
      <c r="E72" s="67">
        <v>450</v>
      </c>
      <c r="F72" s="67" t="s">
        <v>167</v>
      </c>
    </row>
    <row r="73" ht="14.25" spans="1:6">
      <c r="A73" s="66" t="s">
        <v>168</v>
      </c>
      <c r="B73" s="67">
        <v>20</v>
      </c>
      <c r="C73" s="67">
        <v>10</v>
      </c>
      <c r="D73" s="67">
        <v>10</v>
      </c>
      <c r="E73" s="67">
        <v>50</v>
      </c>
      <c r="F73" s="67" t="s">
        <v>169</v>
      </c>
    </row>
    <row r="75" spans="1:1">
      <c r="A75" t="s">
        <v>170</v>
      </c>
    </row>
    <row r="76" spans="1:2">
      <c r="A76" s="1" t="s">
        <v>171</v>
      </c>
      <c r="B76" s="1">
        <f>B72*9+B73*1</f>
        <v>164</v>
      </c>
    </row>
    <row r="77" spans="1:2">
      <c r="A77" s="1" t="s">
        <v>172</v>
      </c>
      <c r="B77" s="1">
        <f>C72*9+C73*1</f>
        <v>100</v>
      </c>
    </row>
    <row r="78" spans="1:2">
      <c r="A78" s="1" t="s">
        <v>173</v>
      </c>
      <c r="B78" s="1">
        <f>B76-B77</f>
        <v>64</v>
      </c>
    </row>
    <row r="79" spans="1:2">
      <c r="A79" s="1" t="s">
        <v>174</v>
      </c>
      <c r="B79" s="1">
        <f>B30</f>
        <v>48000</v>
      </c>
    </row>
    <row r="80" spans="1:2">
      <c r="A80" s="1" t="s">
        <v>175</v>
      </c>
      <c r="B80" s="1">
        <f>B79/B78</f>
        <v>750</v>
      </c>
    </row>
    <row r="81" spans="1:2">
      <c r="A81" s="1" t="s">
        <v>176</v>
      </c>
      <c r="B81" s="1">
        <f>B80*9</f>
        <v>6750</v>
      </c>
    </row>
    <row r="82" spans="1:2">
      <c r="A82" s="1" t="s">
        <v>177</v>
      </c>
      <c r="B82" s="1">
        <f>B80*1</f>
        <v>750</v>
      </c>
    </row>
    <row r="84" spans="1:1">
      <c r="A84" t="s">
        <v>178</v>
      </c>
    </row>
    <row r="85" spans="1:2">
      <c r="A85" s="1" t="s">
        <v>171</v>
      </c>
      <c r="B85" s="1">
        <f>B72*19+B73*1</f>
        <v>324</v>
      </c>
    </row>
    <row r="86" spans="1:2">
      <c r="A86" s="1" t="s">
        <v>172</v>
      </c>
      <c r="B86" s="1">
        <f>C72*19+C73*1</f>
        <v>200</v>
      </c>
    </row>
    <row r="87" spans="1:2">
      <c r="A87" s="1" t="s">
        <v>173</v>
      </c>
      <c r="B87" s="1">
        <f>B85-B86</f>
        <v>124</v>
      </c>
    </row>
    <row r="88" spans="1:2">
      <c r="A88" s="1" t="s">
        <v>174</v>
      </c>
      <c r="B88" s="1">
        <f>B79</f>
        <v>48000</v>
      </c>
    </row>
    <row r="89" spans="1:2">
      <c r="A89" s="1" t="s">
        <v>175</v>
      </c>
      <c r="B89" s="3">
        <f>ROUNDUP(B88/B87,0)</f>
        <v>388</v>
      </c>
    </row>
    <row r="90" spans="1:2">
      <c r="A90" s="1" t="s">
        <v>176</v>
      </c>
      <c r="B90" s="1">
        <f>B89*19</f>
        <v>7372</v>
      </c>
    </row>
    <row r="91" spans="1:2">
      <c r="A91" s="1" t="s">
        <v>177</v>
      </c>
      <c r="B91" s="1">
        <f>B89*1</f>
        <v>388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topLeftCell="A28" workbookViewId="0">
      <selection activeCell="C60" sqref="C60"/>
    </sheetView>
  </sheetViews>
  <sheetFormatPr defaultColWidth="9" defaultRowHeight="13.5" outlineLevelCol="3"/>
  <cols>
    <col min="1" max="1" width="24.375" customWidth="1"/>
    <col min="2" max="2" width="19.625" customWidth="1"/>
    <col min="3" max="3" width="14.625" customWidth="1"/>
    <col min="10" max="12" width="12.625"/>
  </cols>
  <sheetData>
    <row r="1" spans="1:3">
      <c r="A1" s="33" t="s">
        <v>179</v>
      </c>
      <c r="B1" s="33"/>
      <c r="C1" s="33"/>
    </row>
    <row r="2" spans="1:3">
      <c r="A2" s="34" t="s">
        <v>1</v>
      </c>
      <c r="B2" s="35" t="s">
        <v>180</v>
      </c>
      <c r="C2" s="35"/>
    </row>
    <row r="3" spans="1:4">
      <c r="A3" s="36" t="s">
        <v>181</v>
      </c>
      <c r="B3" s="36"/>
      <c r="C3" s="36">
        <v>1200</v>
      </c>
      <c r="D3" t="s">
        <v>182</v>
      </c>
    </row>
    <row r="4" spans="1:3">
      <c r="A4" s="36" t="s">
        <v>101</v>
      </c>
      <c r="B4" s="36"/>
      <c r="C4" s="36">
        <f>SUM(B5:B10)</f>
        <v>786</v>
      </c>
    </row>
    <row r="5" spans="1:3">
      <c r="A5" s="36" t="s">
        <v>183</v>
      </c>
      <c r="B5" s="36">
        <v>240</v>
      </c>
      <c r="C5" s="36"/>
    </row>
    <row r="6" spans="1:3">
      <c r="A6" s="36" t="s">
        <v>184</v>
      </c>
      <c r="B6" s="36">
        <f>360*(1+15%)</f>
        <v>414</v>
      </c>
      <c r="C6" s="36"/>
    </row>
    <row r="7" spans="1:3">
      <c r="A7" s="36" t="s">
        <v>185</v>
      </c>
      <c r="B7" s="36"/>
      <c r="C7" s="36"/>
    </row>
    <row r="8" spans="1:3">
      <c r="A8" s="36" t="s">
        <v>186</v>
      </c>
      <c r="B8" s="36">
        <v>54</v>
      </c>
      <c r="C8" s="36"/>
    </row>
    <row r="9" spans="1:3">
      <c r="A9" s="36" t="s">
        <v>187</v>
      </c>
      <c r="B9" s="36">
        <v>60</v>
      </c>
      <c r="C9" s="36"/>
    </row>
    <row r="10" spans="1:3">
      <c r="A10" s="36" t="s">
        <v>188</v>
      </c>
      <c r="B10" s="36">
        <v>18</v>
      </c>
      <c r="C10" s="36"/>
    </row>
    <row r="11" spans="1:3">
      <c r="A11" s="36" t="s">
        <v>56</v>
      </c>
      <c r="B11" s="36"/>
      <c r="C11" s="36">
        <f>C3-C4</f>
        <v>414</v>
      </c>
    </row>
    <row r="12" spans="1:3">
      <c r="A12" s="36" t="s">
        <v>104</v>
      </c>
      <c r="B12" s="36"/>
      <c r="C12" s="36">
        <f>SUM(B13:B16)</f>
        <v>380.2</v>
      </c>
    </row>
    <row r="13" spans="1:3">
      <c r="A13" s="36" t="s">
        <v>186</v>
      </c>
      <c r="B13" s="36">
        <v>192</v>
      </c>
      <c r="C13" s="36"/>
    </row>
    <row r="14" spans="1:3">
      <c r="A14" s="36" t="s">
        <v>187</v>
      </c>
      <c r="B14" s="36">
        <v>114</v>
      </c>
      <c r="C14" s="36"/>
    </row>
    <row r="15" spans="1:3">
      <c r="A15" s="36" t="s">
        <v>188</v>
      </c>
      <c r="B15" s="36">
        <v>24</v>
      </c>
      <c r="C15" s="36"/>
    </row>
    <row r="16" spans="1:3">
      <c r="A16" s="36" t="s">
        <v>189</v>
      </c>
      <c r="B16" s="36">
        <v>50.2</v>
      </c>
      <c r="C16" s="36"/>
    </row>
    <row r="17" spans="1:3">
      <c r="A17" s="36" t="s">
        <v>144</v>
      </c>
      <c r="B17" s="36"/>
      <c r="C17" s="36">
        <f>C11-C12</f>
        <v>33.8</v>
      </c>
    </row>
    <row r="20" spans="1:1">
      <c r="A20" t="s">
        <v>190</v>
      </c>
    </row>
    <row r="21" spans="1:1">
      <c r="A21" t="s">
        <v>191</v>
      </c>
    </row>
    <row r="22" spans="1:1">
      <c r="A22" t="s">
        <v>192</v>
      </c>
    </row>
    <row r="23" spans="1:1">
      <c r="A23" t="s">
        <v>193</v>
      </c>
    </row>
    <row r="25" spans="1:3">
      <c r="A25" s="33" t="s">
        <v>194</v>
      </c>
      <c r="B25" s="33"/>
      <c r="C25" s="33"/>
    </row>
    <row r="26" spans="1:3">
      <c r="A26" s="34" t="s">
        <v>1</v>
      </c>
      <c r="B26" s="35" t="s">
        <v>180</v>
      </c>
      <c r="C26" s="35"/>
    </row>
    <row r="27" spans="1:3">
      <c r="A27" s="36" t="s">
        <v>195</v>
      </c>
      <c r="B27" s="36"/>
      <c r="C27" s="36">
        <f>C3+15*7.5</f>
        <v>1312.5</v>
      </c>
    </row>
    <row r="28" spans="1:3">
      <c r="A28" s="36" t="s">
        <v>101</v>
      </c>
      <c r="B28" s="36"/>
      <c r="C28" s="36">
        <f>SUM(B29:B33)</f>
        <v>836.325</v>
      </c>
    </row>
    <row r="29" spans="1:3">
      <c r="A29" s="36" t="s">
        <v>183</v>
      </c>
      <c r="B29" s="36">
        <f>240*1.1</f>
        <v>264</v>
      </c>
      <c r="C29" s="36"/>
    </row>
    <row r="30" spans="1:3">
      <c r="A30" s="36" t="s">
        <v>184</v>
      </c>
      <c r="B30" s="36">
        <f>360*1.05+0.3*165</f>
        <v>427.5</v>
      </c>
      <c r="C30" s="36"/>
    </row>
    <row r="31" spans="1:3">
      <c r="A31" s="36" t="s">
        <v>185</v>
      </c>
      <c r="B31" s="36">
        <f>54*1.1</f>
        <v>59.4</v>
      </c>
      <c r="C31" s="36"/>
    </row>
    <row r="32" spans="1:3">
      <c r="A32" s="36" t="s">
        <v>196</v>
      </c>
      <c r="B32" s="36">
        <f>C27*5%</f>
        <v>65.625</v>
      </c>
      <c r="C32" s="36"/>
    </row>
    <row r="33" spans="1:3">
      <c r="A33" s="36" t="s">
        <v>197</v>
      </c>
      <c r="B33" s="36">
        <f>18*1.1</f>
        <v>19.8</v>
      </c>
      <c r="C33" s="36"/>
    </row>
    <row r="34" spans="1:3">
      <c r="A34" s="36" t="s">
        <v>56</v>
      </c>
      <c r="B34" s="36"/>
      <c r="C34" s="36">
        <f>C27-C28</f>
        <v>476.175</v>
      </c>
    </row>
    <row r="35" spans="1:3">
      <c r="A35" s="36" t="s">
        <v>104</v>
      </c>
      <c r="B35" s="36"/>
      <c r="C35" s="36">
        <f>SUM(B36:B39)</f>
        <v>380.2</v>
      </c>
    </row>
    <row r="36" spans="1:3">
      <c r="A36" s="36" t="s">
        <v>186</v>
      </c>
      <c r="B36" s="36">
        <v>192</v>
      </c>
      <c r="C36" s="36"/>
    </row>
    <row r="37" spans="1:3">
      <c r="A37" s="36" t="s">
        <v>187</v>
      </c>
      <c r="B37" s="36">
        <v>114</v>
      </c>
      <c r="C37" s="36"/>
    </row>
    <row r="38" spans="1:3">
      <c r="A38" s="36" t="s">
        <v>188</v>
      </c>
      <c r="B38" s="36">
        <v>24</v>
      </c>
      <c r="C38" s="36"/>
    </row>
    <row r="39" spans="1:3">
      <c r="A39" s="36" t="s">
        <v>189</v>
      </c>
      <c r="B39" s="36">
        <v>50.2</v>
      </c>
      <c r="C39" s="36"/>
    </row>
    <row r="40" spans="1:3">
      <c r="A40" s="36" t="s">
        <v>144</v>
      </c>
      <c r="B40" s="36"/>
      <c r="C40" s="36">
        <f>C34-C35</f>
        <v>95.9750000000001</v>
      </c>
    </row>
    <row r="42" ht="86" customHeight="1" spans="1:1">
      <c r="A42" s="37" t="s">
        <v>198</v>
      </c>
    </row>
    <row r="44" spans="1:1">
      <c r="A44" t="s">
        <v>199</v>
      </c>
    </row>
    <row r="45" spans="1:1">
      <c r="A45" t="s">
        <v>200</v>
      </c>
    </row>
    <row r="47" spans="1:1">
      <c r="A47" t="s">
        <v>201</v>
      </c>
    </row>
    <row r="48" spans="1:1">
      <c r="A48" t="s">
        <v>202</v>
      </c>
    </row>
    <row r="49" spans="1:1">
      <c r="A49" t="s">
        <v>203</v>
      </c>
    </row>
    <row r="50" spans="1:1">
      <c r="A50" t="s">
        <v>204</v>
      </c>
    </row>
    <row r="51" spans="1:1">
      <c r="A51" t="s">
        <v>205</v>
      </c>
    </row>
  </sheetData>
  <mergeCells count="4">
    <mergeCell ref="A1:C1"/>
    <mergeCell ref="B2:C2"/>
    <mergeCell ref="A25:C25"/>
    <mergeCell ref="B26:C26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37"/>
  <sheetViews>
    <sheetView topLeftCell="A4" workbookViewId="0">
      <selection activeCell="F39" sqref="F39"/>
    </sheetView>
  </sheetViews>
  <sheetFormatPr defaultColWidth="9" defaultRowHeight="13.5"/>
  <cols>
    <col min="1" max="1" width="31.875" customWidth="1"/>
    <col min="2" max="2" width="20.125" customWidth="1"/>
    <col min="3" max="3" width="11.875" customWidth="1"/>
    <col min="4" max="4" width="11" customWidth="1"/>
    <col min="6" max="6" width="15.125" customWidth="1"/>
    <col min="7" max="7" width="20.25" customWidth="1"/>
    <col min="8" max="8" width="18.125" customWidth="1"/>
    <col min="9" max="9" width="15.125" customWidth="1"/>
    <col min="10" max="10" width="14.125" customWidth="1"/>
  </cols>
  <sheetData>
    <row r="2" ht="27" customHeight="1" spans="1:4">
      <c r="A2" t="s">
        <v>206</v>
      </c>
      <c r="B2"/>
      <c r="D2" s="7"/>
    </row>
    <row r="3" ht="14.25" spans="1:2">
      <c r="A3" s="8" t="s">
        <v>207</v>
      </c>
      <c r="B3" s="9" t="s">
        <v>208</v>
      </c>
    </row>
    <row r="4" spans="1:2">
      <c r="A4" s="10" t="s">
        <v>209</v>
      </c>
      <c r="B4" s="11">
        <v>114000</v>
      </c>
    </row>
    <row r="5" ht="14.25" spans="1:9">
      <c r="A5" s="10" t="s">
        <v>210</v>
      </c>
      <c r="B5" s="11"/>
      <c r="I5" s="12"/>
    </row>
    <row r="6" ht="24" customHeight="1" spans="1:8">
      <c r="A6" s="10" t="s">
        <v>211</v>
      </c>
      <c r="B6" s="11">
        <v>57000</v>
      </c>
      <c r="H6" s="12"/>
    </row>
    <row r="7" ht="14.25" spans="1:2">
      <c r="A7" s="10" t="s">
        <v>212</v>
      </c>
      <c r="B7" s="11">
        <v>6000</v>
      </c>
    </row>
    <row r="8" spans="1:2">
      <c r="A8" s="10" t="s">
        <v>213</v>
      </c>
      <c r="B8" s="11">
        <v>63000</v>
      </c>
    </row>
    <row r="9" ht="14.25" spans="1:2">
      <c r="A9" s="10" t="s">
        <v>214</v>
      </c>
      <c r="B9" s="11">
        <v>51000</v>
      </c>
    </row>
    <row r="10" ht="25.5" spans="1:2">
      <c r="A10" s="10" t="s">
        <v>215</v>
      </c>
      <c r="B10" s="11">
        <v>9000</v>
      </c>
    </row>
    <row r="11" spans="1:2">
      <c r="A11" s="10" t="s">
        <v>216</v>
      </c>
      <c r="B11" s="11">
        <v>12000</v>
      </c>
    </row>
    <row r="12" spans="1:2">
      <c r="A12" s="10" t="s">
        <v>217</v>
      </c>
      <c r="B12" s="11">
        <v>21000</v>
      </c>
    </row>
    <row r="13" ht="14.25" spans="1:2">
      <c r="A13" s="10" t="s">
        <v>218</v>
      </c>
      <c r="B13" s="11">
        <v>30000</v>
      </c>
    </row>
    <row r="14" spans="1:2">
      <c r="A14" s="10" t="s">
        <v>219</v>
      </c>
      <c r="B14" s="11">
        <v>7500</v>
      </c>
    </row>
    <row r="15" ht="14.25" spans="1:2">
      <c r="A15" s="10" t="s">
        <v>220</v>
      </c>
      <c r="B15" s="11">
        <v>22500</v>
      </c>
    </row>
    <row r="16" spans="1:1">
      <c r="A16" s="13"/>
    </row>
    <row r="17" ht="14.25" spans="1:2">
      <c r="A17" s="14" t="s">
        <v>221</v>
      </c>
      <c r="B17" s="14"/>
    </row>
    <row r="18" spans="1:2">
      <c r="A18" s="15" t="s">
        <v>222</v>
      </c>
      <c r="B18" s="16">
        <v>950</v>
      </c>
    </row>
    <row r="19" spans="1:2">
      <c r="A19" s="17" t="s">
        <v>223</v>
      </c>
      <c r="B19" s="18">
        <v>150</v>
      </c>
    </row>
    <row r="20" ht="14.25" spans="1:2">
      <c r="A20" s="19" t="s">
        <v>224</v>
      </c>
      <c r="B20" s="20">
        <f>SUM(B18:B19)</f>
        <v>1100</v>
      </c>
    </row>
    <row r="22" ht="14.25" spans="1:2">
      <c r="A22" s="14" t="s">
        <v>225</v>
      </c>
      <c r="B22" s="14"/>
    </row>
    <row r="23" spans="1:2">
      <c r="A23" s="15" t="s">
        <v>226</v>
      </c>
      <c r="B23" s="16">
        <v>6000</v>
      </c>
    </row>
    <row r="24" spans="1:2">
      <c r="A24" s="17" t="s">
        <v>227</v>
      </c>
      <c r="B24" s="18">
        <v>12000</v>
      </c>
    </row>
    <row r="25" ht="14.25" spans="1:2">
      <c r="A25" s="19" t="s">
        <v>12</v>
      </c>
      <c r="B25" s="20">
        <f>SUM(B23:B24)</f>
        <v>18000</v>
      </c>
    </row>
    <row r="28" spans="1:2">
      <c r="A28" s="21" t="s">
        <v>228</v>
      </c>
      <c r="B28" s="21"/>
    </row>
    <row r="29" ht="14.25" spans="1:10">
      <c r="A29" s="22" t="s">
        <v>229</v>
      </c>
      <c r="B29" s="23" t="s">
        <v>230</v>
      </c>
      <c r="C29" s="15" t="s">
        <v>231</v>
      </c>
      <c r="D29" s="24" t="s">
        <v>101</v>
      </c>
      <c r="E29" s="24" t="s">
        <v>104</v>
      </c>
      <c r="F29" s="24" t="s">
        <v>132</v>
      </c>
      <c r="G29" s="24" t="s">
        <v>232</v>
      </c>
      <c r="H29" s="24" t="s">
        <v>233</v>
      </c>
      <c r="I29" s="24" t="s">
        <v>234</v>
      </c>
      <c r="J29" s="16" t="s">
        <v>235</v>
      </c>
    </row>
    <row r="30" ht="14.25" spans="1:10">
      <c r="A30" s="25">
        <v>1900</v>
      </c>
      <c r="B30" s="26">
        <v>58</v>
      </c>
      <c r="C30" s="17">
        <f>A30*B30</f>
        <v>110200</v>
      </c>
      <c r="D30" s="1">
        <f>B30*$B$20</f>
        <v>63800</v>
      </c>
      <c r="E30" s="1">
        <f>$B$25</f>
        <v>18000</v>
      </c>
      <c r="F30" s="1">
        <f>A30-$B$20</f>
        <v>800</v>
      </c>
      <c r="G30" s="27">
        <f>E30/F30</f>
        <v>22.5</v>
      </c>
      <c r="H30" s="27">
        <f>B30-G30</f>
        <v>35.5</v>
      </c>
      <c r="I30" s="1">
        <f>H30*F30</f>
        <v>28400</v>
      </c>
      <c r="J30" s="18">
        <f>I30*0.75</f>
        <v>21300</v>
      </c>
    </row>
    <row r="31" ht="14.25" spans="1:10">
      <c r="A31" s="25">
        <v>1850</v>
      </c>
      <c r="B31" s="26">
        <v>62</v>
      </c>
      <c r="C31" s="17">
        <f>A31*B31</f>
        <v>114700</v>
      </c>
      <c r="D31" s="1">
        <f>B31*$B$20</f>
        <v>68200</v>
      </c>
      <c r="E31" s="1">
        <f>$B$25</f>
        <v>18000</v>
      </c>
      <c r="F31" s="1">
        <f>A31-$B$20</f>
        <v>750</v>
      </c>
      <c r="G31" s="27">
        <f>E31/F31</f>
        <v>24</v>
      </c>
      <c r="H31" s="27">
        <f>B31-G31</f>
        <v>38</v>
      </c>
      <c r="I31" s="1">
        <f>H31*F31</f>
        <v>28500</v>
      </c>
      <c r="J31" s="18">
        <f>I31*0.75</f>
        <v>21375</v>
      </c>
    </row>
    <row r="32" ht="14.25" spans="1:11">
      <c r="A32" s="28">
        <v>1800</v>
      </c>
      <c r="B32" s="26">
        <v>70</v>
      </c>
      <c r="C32" s="17">
        <f>A32*B32</f>
        <v>126000</v>
      </c>
      <c r="D32" s="1">
        <f>B32*$B$20</f>
        <v>77000</v>
      </c>
      <c r="E32" s="1">
        <f>$B$25</f>
        <v>18000</v>
      </c>
      <c r="F32" s="1">
        <f>A32-$B$20</f>
        <v>700</v>
      </c>
      <c r="G32" s="27">
        <f>E32/F32</f>
        <v>25.7142857142857</v>
      </c>
      <c r="H32" s="27">
        <f>B32-G32</f>
        <v>44.2857142857143</v>
      </c>
      <c r="I32" s="1">
        <f>H32*F32</f>
        <v>31000</v>
      </c>
      <c r="J32" s="32">
        <f>I32*0.75</f>
        <v>23250</v>
      </c>
      <c r="K32" t="s">
        <v>236</v>
      </c>
    </row>
    <row r="33" ht="14.25" spans="1:10">
      <c r="A33" s="25">
        <v>1750</v>
      </c>
      <c r="B33" s="26">
        <v>75</v>
      </c>
      <c r="C33" s="19">
        <f>A33*B33</f>
        <v>131250</v>
      </c>
      <c r="D33" s="29">
        <f>B33*$B$20</f>
        <v>82500</v>
      </c>
      <c r="E33" s="29">
        <f>$B$25</f>
        <v>18000</v>
      </c>
      <c r="F33" s="29">
        <f>A33-$B$20</f>
        <v>650</v>
      </c>
      <c r="G33" s="30">
        <f>E33/F33</f>
        <v>27.6923076923077</v>
      </c>
      <c r="H33" s="30">
        <f>B33-G33</f>
        <v>47.3076923076923</v>
      </c>
      <c r="I33" s="29">
        <f>H33*F33</f>
        <v>30750</v>
      </c>
      <c r="J33" s="20">
        <f>I33*0.75</f>
        <v>23062.5</v>
      </c>
    </row>
    <row r="35" spans="1:2">
      <c r="A35" t="s">
        <v>237</v>
      </c>
      <c r="B35" t="s">
        <v>238</v>
      </c>
    </row>
    <row r="36" spans="1:1">
      <c r="A36" t="s">
        <v>239</v>
      </c>
    </row>
    <row r="37" spans="1:4">
      <c r="A37" t="s">
        <v>240</v>
      </c>
      <c r="C37" s="31">
        <f>(B13+E32)/F32</f>
        <v>68.5714285714286</v>
      </c>
      <c r="D37" t="s">
        <v>241</v>
      </c>
    </row>
  </sheetData>
  <mergeCells count="3">
    <mergeCell ref="A17:B17"/>
    <mergeCell ref="A22:B22"/>
    <mergeCell ref="A28:B28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5"/>
  <sheetViews>
    <sheetView workbookViewId="0">
      <selection activeCell="F29" sqref="F29"/>
    </sheetView>
  </sheetViews>
  <sheetFormatPr defaultColWidth="9" defaultRowHeight="13.5" outlineLevelCol="6"/>
  <cols>
    <col min="2" max="2" width="12.375" customWidth="1"/>
    <col min="4" max="4" width="15" customWidth="1"/>
    <col min="5" max="5" width="14.875" customWidth="1"/>
    <col min="6" max="6" width="15.75" customWidth="1"/>
    <col min="7" max="7" width="14.375" customWidth="1"/>
  </cols>
  <sheetData>
    <row r="2" spans="1:1">
      <c r="A2" t="s">
        <v>242</v>
      </c>
    </row>
    <row r="3" spans="1:7">
      <c r="A3" s="1" t="s">
        <v>104</v>
      </c>
      <c r="B3" s="1" t="s">
        <v>131</v>
      </c>
      <c r="C3" s="1" t="s">
        <v>243</v>
      </c>
      <c r="D3" s="1" t="s">
        <v>132</v>
      </c>
      <c r="E3" s="1" t="s">
        <v>244</v>
      </c>
      <c r="F3" s="1" t="s">
        <v>245</v>
      </c>
      <c r="G3" s="1" t="s">
        <v>246</v>
      </c>
    </row>
    <row r="4" spans="1:7">
      <c r="A4" s="1">
        <v>100000</v>
      </c>
      <c r="B4" s="1">
        <v>10</v>
      </c>
      <c r="C4" s="1">
        <v>30</v>
      </c>
      <c r="D4" s="1">
        <f>C4-B4</f>
        <v>20</v>
      </c>
      <c r="E4" s="1">
        <v>30000</v>
      </c>
      <c r="F4" s="5">
        <f>E4*$D$4-$A$4</f>
        <v>500000</v>
      </c>
      <c r="G4" s="1">
        <f>A4/D4</f>
        <v>5000</v>
      </c>
    </row>
    <row r="5" spans="1:7">
      <c r="A5" s="1"/>
      <c r="B5" s="1"/>
      <c r="C5" s="1"/>
      <c r="D5" s="1"/>
      <c r="E5" s="1">
        <v>22000</v>
      </c>
      <c r="F5" s="6">
        <f>E5*$D$4-$A$4</f>
        <v>340000</v>
      </c>
      <c r="G5" s="1"/>
    </row>
    <row r="7" spans="1:1">
      <c r="A7" t="s">
        <v>247</v>
      </c>
    </row>
    <row r="8" spans="1:7">
      <c r="A8" s="1" t="s">
        <v>104</v>
      </c>
      <c r="B8" s="1" t="s">
        <v>131</v>
      </c>
      <c r="C8" s="1" t="s">
        <v>243</v>
      </c>
      <c r="D8" s="1" t="s">
        <v>132</v>
      </c>
      <c r="E8" s="1" t="s">
        <v>244</v>
      </c>
      <c r="F8" s="1" t="s">
        <v>245</v>
      </c>
      <c r="G8" s="1" t="s">
        <v>246</v>
      </c>
    </row>
    <row r="9" spans="1:7">
      <c r="A9" s="1">
        <v>200000</v>
      </c>
      <c r="B9" s="1">
        <v>6</v>
      </c>
      <c r="C9" s="1">
        <v>30</v>
      </c>
      <c r="D9" s="1">
        <f>C9-B9</f>
        <v>24</v>
      </c>
      <c r="E9" s="1">
        <v>30000</v>
      </c>
      <c r="F9" s="5">
        <f>$D$9*E9-$A$9</f>
        <v>520000</v>
      </c>
      <c r="G9" s="3">
        <f>ROUNDUP(A9/D9,0)</f>
        <v>8334</v>
      </c>
    </row>
    <row r="10" spans="1:7">
      <c r="A10" s="1"/>
      <c r="B10" s="1"/>
      <c r="C10" s="1"/>
      <c r="D10" s="1"/>
      <c r="E10" s="1">
        <v>22000</v>
      </c>
      <c r="F10" s="6">
        <f>$D$9*E10-$A$9</f>
        <v>328000</v>
      </c>
      <c r="G10" s="1"/>
    </row>
    <row r="12" spans="1:1">
      <c r="A12" t="s">
        <v>248</v>
      </c>
    </row>
    <row r="13" spans="1:1">
      <c r="A13" t="s">
        <v>249</v>
      </c>
    </row>
    <row r="14" spans="1:1">
      <c r="A14" t="s">
        <v>250</v>
      </c>
    </row>
    <row r="15" spans="1:1">
      <c r="A15" t="s">
        <v>251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3"/>
  <sheetViews>
    <sheetView tabSelected="1" workbookViewId="0">
      <selection activeCell="H32" sqref="H32"/>
    </sheetView>
  </sheetViews>
  <sheetFormatPr defaultColWidth="9" defaultRowHeight="13.5" outlineLevelCol="1"/>
  <cols>
    <col min="1" max="1" width="36" customWidth="1"/>
    <col min="2" max="2" width="15.125" customWidth="1"/>
  </cols>
  <sheetData>
    <row r="1" spans="1:1">
      <c r="A1" t="s">
        <v>252</v>
      </c>
    </row>
    <row r="2" spans="1:2">
      <c r="A2" s="1" t="s">
        <v>253</v>
      </c>
      <c r="B2" s="1">
        <v>150000</v>
      </c>
    </row>
    <row r="3" spans="1:2">
      <c r="A3" s="1" t="s">
        <v>254</v>
      </c>
      <c r="B3" s="2">
        <v>0.07</v>
      </c>
    </row>
    <row r="4" spans="1:2">
      <c r="A4" s="1" t="s">
        <v>255</v>
      </c>
      <c r="B4" s="1">
        <f>B2*B3</f>
        <v>10500</v>
      </c>
    </row>
    <row r="6" spans="1:1">
      <c r="A6" t="s">
        <v>256</v>
      </c>
    </row>
    <row r="8" spans="1:2">
      <c r="A8" s="1" t="s">
        <v>104</v>
      </c>
      <c r="B8" s="1" t="s">
        <v>257</v>
      </c>
    </row>
    <row r="9" spans="1:2">
      <c r="A9" s="1" t="s">
        <v>258</v>
      </c>
      <c r="B9" s="1">
        <v>50000</v>
      </c>
    </row>
    <row r="10" spans="1:2">
      <c r="A10" s="1" t="s">
        <v>259</v>
      </c>
      <c r="B10" s="1">
        <f>8*2*72*52</f>
        <v>59904</v>
      </c>
    </row>
    <row r="11" spans="1:2">
      <c r="A11" s="1" t="s">
        <v>260</v>
      </c>
      <c r="B11" s="1">
        <f>10*72*52</f>
        <v>37440</v>
      </c>
    </row>
    <row r="12" spans="1:2">
      <c r="A12" s="1" t="s">
        <v>12</v>
      </c>
      <c r="B12" s="1">
        <f>SUM(B9:B11)</f>
        <v>147344</v>
      </c>
    </row>
    <row r="14" spans="1:1">
      <c r="A14" t="s">
        <v>261</v>
      </c>
    </row>
    <row r="15" spans="1:2">
      <c r="A15" s="1" t="s">
        <v>1</v>
      </c>
      <c r="B15" s="1" t="s">
        <v>262</v>
      </c>
    </row>
    <row r="16" spans="1:2">
      <c r="A16" s="1" t="s">
        <v>263</v>
      </c>
      <c r="B16" s="1">
        <f>0.75*5</f>
        <v>3.75</v>
      </c>
    </row>
    <row r="17" spans="1:2">
      <c r="A17" s="1" t="s">
        <v>264</v>
      </c>
      <c r="B17" s="1">
        <v>1</v>
      </c>
    </row>
    <row r="18" spans="1:2">
      <c r="A18" s="1" t="s">
        <v>265</v>
      </c>
      <c r="B18" s="1">
        <f>4/16*1</f>
        <v>0.25</v>
      </c>
    </row>
    <row r="19" spans="1:2">
      <c r="A19" s="1" t="s">
        <v>12</v>
      </c>
      <c r="B19" s="1">
        <f>SUM(B16:B18)</f>
        <v>5</v>
      </c>
    </row>
    <row r="21" spans="1:2">
      <c r="A21" s="1" t="s">
        <v>266</v>
      </c>
      <c r="B21" s="1">
        <v>22.95</v>
      </c>
    </row>
    <row r="22" spans="1:2">
      <c r="A22" s="1" t="s">
        <v>267</v>
      </c>
      <c r="B22" s="1">
        <f>B21-B19</f>
        <v>17.95</v>
      </c>
    </row>
    <row r="23" spans="1:2">
      <c r="A23" s="1" t="s">
        <v>268</v>
      </c>
      <c r="B23" s="3">
        <f>B12/B22</f>
        <v>8208.57938718663</v>
      </c>
    </row>
    <row r="24" spans="1:2">
      <c r="A24" s="1" t="s">
        <v>269</v>
      </c>
      <c r="B24" s="4">
        <f>(B4+B12)/B22</f>
        <v>8793.53760445683</v>
      </c>
    </row>
    <row r="25" spans="1:1">
      <c r="A25" t="s">
        <v>270</v>
      </c>
    </row>
    <row r="26" spans="1:1">
      <c r="A26">
        <f>289464*1/1723*52</f>
        <v>8736</v>
      </c>
    </row>
    <row r="27" spans="1:1">
      <c r="A27" t="s">
        <v>271</v>
      </c>
    </row>
    <row r="28" spans="1:1">
      <c r="A28">
        <f>72*2*52</f>
        <v>7488</v>
      </c>
    </row>
    <row r="29" spans="1:1">
      <c r="A29" t="s">
        <v>272</v>
      </c>
    </row>
    <row r="30" spans="1:2">
      <c r="A30" s="1" t="s">
        <v>273</v>
      </c>
      <c r="B30" s="1">
        <f>A28*B22-B12</f>
        <v>-12934.4</v>
      </c>
    </row>
    <row r="31" spans="1:2">
      <c r="A31" s="1" t="s">
        <v>274</v>
      </c>
      <c r="B31" s="1">
        <f>B30-B4</f>
        <v>-23434.4</v>
      </c>
    </row>
    <row r="33" spans="1:1">
      <c r="A33" t="s">
        <v>275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任务一</vt:lpstr>
      <vt:lpstr>任务二</vt:lpstr>
      <vt:lpstr>任务三</vt:lpstr>
      <vt:lpstr>任务四</vt:lpstr>
      <vt:lpstr>任务五</vt:lpstr>
      <vt:lpstr>任务六</vt:lpstr>
      <vt:lpstr>任务七</vt:lpstr>
      <vt:lpstr>任务八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2022-12-01T12:40:00Z</dcterms:created>
  <dcterms:modified xsi:type="dcterms:W3CDTF">2023-08-22T09:35:35Z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0E529F6C0DC54D4E9D3CD3A6EDEC2EA7</vt:lpwstr>
  </property>
  <property fmtid="{D5CDD505-2E9C-101B-9397-08002B2CF9AE}" pid="3" name="KSOProductBuildVer">
    <vt:lpwstr>2052-11.1.0.14309</vt:lpwstr>
  </property>
</Properties>
</file>